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hartsheets/sheet1.xml" ContentType="application/vnd.openxmlformats-officedocument.spreadsheetml.chart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worksheets/sheet10.xml" ContentType="application/vnd.openxmlformats-officedocument.spreadsheetml.worksheet+xml"/>
  <Override PartName="/xl/chartsheets/sheet4.xml" ContentType="application/vnd.openxmlformats-officedocument.spreadsheetml.chart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chartsheets/sheet14.xml" ContentType="application/vnd.openxmlformats-officedocument.spreadsheetml.chartsheet+xml"/>
  <Override PartName="/xl/chartsheets/sheet15.xml" ContentType="application/vnd.openxmlformats-officedocument.spreadsheetml.chartsheet+xml"/>
  <Override PartName="/xl/chartsheets/sheet16.xml" ContentType="application/vnd.openxmlformats-officedocument.spreadsheetml.chartsheet+xml"/>
  <Override PartName="/xl/chartsheets/sheet17.xml" ContentType="application/vnd.openxmlformats-officedocument.spreadsheetml.chartsheet+xml"/>
  <Override PartName="/xl/chartsheets/sheet18.xml" ContentType="application/vnd.openxmlformats-officedocument.spreadsheetml.chartsheet+xml"/>
  <Override PartName="/xl/chartsheets/sheet19.xml" ContentType="application/vnd.openxmlformats-officedocument.spreadsheetml.chartsheet+xml"/>
  <Override PartName="/xl/chartsheets/sheet20.xml" ContentType="application/vnd.openxmlformats-officedocument.spreadsheetml.chartsheet+xml"/>
  <Override PartName="/xl/chartsheets/sheet21.xml" ContentType="application/vnd.openxmlformats-officedocument.spreadsheetml.chartsheet+xml"/>
  <Override PartName="/xl/chartsheets/sheet22.xml" ContentType="application/vnd.openxmlformats-officedocument.spreadsheetml.chartsheet+xml"/>
  <Override PartName="/xl/chartsheets/sheet23.xml" ContentType="application/vnd.openxmlformats-officedocument.spreadsheetml.chartsheet+xml"/>
  <Override PartName="/xl/chartsheets/sheet24.xml" ContentType="application/vnd.openxmlformats-officedocument.spreadsheetml.chartsheet+xml"/>
  <Override PartName="/xl/chartsheets/sheet25.xml" ContentType="application/vnd.openxmlformats-officedocument.spreadsheetml.chart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2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3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4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5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7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8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9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20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1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2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3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4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5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6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7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8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9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30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davidkloehr/Downloads/"/>
    </mc:Choice>
  </mc:AlternateContent>
  <xr:revisionPtr revIDLastSave="0" documentId="13_ncr:1_{2282112C-D12C-A748-9593-1AD458F1851A}" xr6:coauthVersionLast="47" xr6:coauthVersionMax="47" xr10:uidLastSave="{00000000-0000-0000-0000-000000000000}"/>
  <bookViews>
    <workbookView xWindow="700" yWindow="500" windowWidth="18640" windowHeight="12020" xr2:uid="{00000000-000D-0000-FFFF-FFFF00000000}"/>
  </bookViews>
  <sheets>
    <sheet name="Ratios" sheetId="5" r:id="rId1"/>
    <sheet name="Inc Statement" sheetId="1" r:id="rId2"/>
    <sheet name="RE statement" sheetId="3" r:id="rId3"/>
    <sheet name="Bal. Sheet" sheetId="2" r:id="rId4"/>
    <sheet name="Cash Flow" sheetId="4" r:id="rId5"/>
    <sheet name="Sources and Uses" sheetId="35" r:id="rId6"/>
    <sheet name="Cash Flow Generation" sheetId="26" r:id="rId7"/>
    <sheet name="Cash Flow Generation Graph" sheetId="34" r:id="rId8"/>
    <sheet name="Debt Payments (2019)" sheetId="40" r:id="rId9"/>
    <sheet name="Segment Revenues" sheetId="6" r:id="rId10"/>
    <sheet name="Segment Bar" sheetId="33" r:id="rId11"/>
    <sheet name="Seg. Line" sheetId="41" r:id="rId12"/>
    <sheet name="Dividend Policy" sheetId="7" r:id="rId13"/>
    <sheet name="Dividend Policy Graph" sheetId="8" r:id="rId14"/>
    <sheet name="AFN" sheetId="27" r:id="rId15"/>
    <sheet name="Sustainable Growth Rate" sheetId="28" r:id="rId16"/>
    <sheet name="Value Line" sheetId="29" r:id="rId17"/>
    <sheet name="Cost of Equity" sheetId="30" r:id="rId18"/>
    <sheet name="WACC" sheetId="31" r:id="rId19"/>
    <sheet name="Industry Ratios" sheetId="11" r:id="rId20"/>
    <sheet name="Competitors" sheetId="10" r:id="rId21"/>
    <sheet name="Industry Data" sheetId="9" r:id="rId22"/>
    <sheet name="Current Ratio Graph" sheetId="13" r:id="rId23"/>
    <sheet name="Quick Ratio Graph" sheetId="14" r:id="rId24"/>
    <sheet name="Debt Ratio Graph" sheetId="15" r:id="rId25"/>
    <sheet name="TIE Ratio Graph" sheetId="16" r:id="rId26"/>
    <sheet name="Inventory Turnover Ratio Graph" sheetId="17" r:id="rId27"/>
    <sheet name="Day Sales Outstanding Graph" sheetId="18" r:id="rId28"/>
    <sheet name="Fixed Asset Turnover Ratio" sheetId="19" r:id="rId29"/>
    <sheet name="Total Asset Turnover Ratio" sheetId="20" r:id="rId30"/>
    <sheet name="Profit Margin Ratio" sheetId="21" r:id="rId31"/>
    <sheet name="Gross Margin " sheetId="38" r:id="rId32"/>
    <sheet name="Operating Margin" sheetId="25" r:id="rId33"/>
    <sheet name="EBITDA Margin" sheetId="24" r:id="rId34"/>
    <sheet name="ROA Ratio Graph" sheetId="22" r:id="rId35"/>
    <sheet name="ROE Ratio Graph" sheetId="23" r:id="rId36"/>
    <sheet name="MP Line" sheetId="42" r:id="rId37"/>
    <sheet name="MP Bar" sheetId="43" r:id="rId38"/>
    <sheet name="TV Line" sheetId="44" r:id="rId39"/>
    <sheet name="TV Bar" sheetId="45" r:id="rId40"/>
    <sheet name="MN Bar" sheetId="46" r:id="rId41"/>
    <sheet name="Investment vs. Amortization" sheetId="12" r:id="rId42"/>
    <sheet name="Cash Conversion Cycle" sheetId="36" r:id="rId43"/>
    <sheet name="LGF.A market price" sheetId="37" r:id="rId44"/>
    <sheet name="COGS" sheetId="39" r:id="rId45"/>
  </sheets>
  <externalReferences>
    <externalReference r:id="rId46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9" i="10" l="1"/>
  <c r="W10" i="39"/>
  <c r="V10" i="39"/>
  <c r="U10" i="39"/>
  <c r="T10" i="39"/>
  <c r="S10" i="39"/>
  <c r="Q10" i="39"/>
  <c r="P10" i="39"/>
  <c r="O10" i="39"/>
  <c r="N10" i="39"/>
  <c r="M10" i="39"/>
  <c r="K10" i="39"/>
  <c r="J10" i="39"/>
  <c r="I10" i="39"/>
  <c r="G10" i="39"/>
  <c r="F10" i="39"/>
  <c r="E10" i="39"/>
  <c r="D10" i="39"/>
  <c r="C10" i="39"/>
  <c r="B10" i="39"/>
  <c r="K8" i="39"/>
  <c r="J8" i="39"/>
  <c r="G8" i="39"/>
  <c r="F8" i="39"/>
  <c r="E8" i="39"/>
  <c r="D8" i="39"/>
  <c r="C8" i="39"/>
  <c r="B8" i="39"/>
  <c r="K7" i="39"/>
  <c r="J7" i="39"/>
  <c r="G7" i="39"/>
  <c r="F7" i="39"/>
  <c r="E7" i="39"/>
  <c r="D7" i="39"/>
  <c r="C7" i="39"/>
  <c r="B7" i="39"/>
  <c r="W6" i="39"/>
  <c r="V6" i="39"/>
  <c r="U6" i="39"/>
  <c r="T6" i="39"/>
  <c r="S6" i="39"/>
  <c r="Q6" i="39"/>
  <c r="P6" i="39"/>
  <c r="O6" i="39"/>
  <c r="N6" i="39"/>
  <c r="M6" i="39"/>
  <c r="K6" i="39"/>
  <c r="J6" i="39"/>
  <c r="I6" i="39"/>
  <c r="G6" i="39"/>
  <c r="F6" i="39"/>
  <c r="E6" i="39"/>
  <c r="D6" i="39"/>
  <c r="C6" i="39"/>
  <c r="B6" i="39"/>
  <c r="W4" i="39"/>
  <c r="V4" i="39"/>
  <c r="U4" i="39"/>
  <c r="T4" i="39"/>
  <c r="S4" i="39"/>
  <c r="Q4" i="39"/>
  <c r="P4" i="39"/>
  <c r="O4" i="39"/>
  <c r="N4" i="39"/>
  <c r="M4" i="39"/>
  <c r="K4" i="39"/>
  <c r="J4" i="39"/>
  <c r="I4" i="39"/>
  <c r="G4" i="39"/>
  <c r="F4" i="39"/>
  <c r="E4" i="39"/>
  <c r="D4" i="39"/>
  <c r="C4" i="39"/>
  <c r="B4" i="39"/>
  <c r="W3" i="39"/>
  <c r="V3" i="39"/>
  <c r="U3" i="39"/>
  <c r="T3" i="39"/>
  <c r="S3" i="39"/>
  <c r="Q3" i="39"/>
  <c r="P3" i="39"/>
  <c r="O3" i="39"/>
  <c r="N3" i="39"/>
  <c r="M3" i="39"/>
  <c r="K3" i="39"/>
  <c r="J3" i="39"/>
  <c r="I3" i="39"/>
  <c r="G3" i="39"/>
  <c r="F3" i="39"/>
  <c r="E3" i="39"/>
  <c r="D3" i="39"/>
  <c r="C3" i="39"/>
  <c r="B3" i="39"/>
  <c r="W2" i="39"/>
  <c r="V2" i="39"/>
  <c r="U2" i="39"/>
  <c r="T2" i="39"/>
  <c r="S2" i="39"/>
  <c r="Q2" i="39"/>
  <c r="P2" i="39"/>
  <c r="O2" i="39"/>
  <c r="N2" i="39"/>
  <c r="M2" i="39"/>
  <c r="K2" i="39"/>
  <c r="J2" i="39"/>
  <c r="I2" i="39"/>
  <c r="G2" i="39"/>
  <c r="F2" i="39"/>
  <c r="E2" i="39"/>
  <c r="D2" i="39"/>
  <c r="C2" i="39"/>
  <c r="B2" i="39"/>
  <c r="O2" i="37"/>
  <c r="N2" i="37"/>
  <c r="M2" i="37"/>
  <c r="L2" i="37"/>
  <c r="K2" i="37"/>
  <c r="J2" i="37"/>
  <c r="CY4" i="9"/>
  <c r="CX4" i="9"/>
  <c r="CW4" i="9"/>
  <c r="CV4" i="9"/>
  <c r="CU4" i="9"/>
  <c r="CT4" i="9"/>
  <c r="CS4" i="9"/>
  <c r="CR4" i="9"/>
  <c r="CQ4" i="9"/>
  <c r="CP4" i="9"/>
  <c r="CO4" i="9"/>
  <c r="CN4" i="9"/>
  <c r="CM4" i="9"/>
  <c r="CL4" i="9"/>
  <c r="CK4" i="9"/>
  <c r="CJ4" i="9"/>
  <c r="CI4" i="9"/>
  <c r="CH4" i="9"/>
  <c r="CG4" i="9"/>
  <c r="CF4" i="9"/>
  <c r="CE4" i="9"/>
  <c r="CD4" i="9"/>
  <c r="CC4" i="9"/>
  <c r="CB4" i="9"/>
  <c r="CA4" i="9"/>
  <c r="BZ4" i="9"/>
  <c r="BY4" i="9"/>
  <c r="BX4" i="9"/>
  <c r="BW4" i="9"/>
  <c r="BV4" i="9"/>
  <c r="BU4" i="9"/>
  <c r="BT4" i="9"/>
  <c r="BS4" i="9"/>
  <c r="BR4" i="9"/>
  <c r="BQ4" i="9"/>
  <c r="BP4" i="9"/>
  <c r="BO4" i="9"/>
  <c r="BN4" i="9"/>
  <c r="BM4" i="9"/>
  <c r="BL4" i="9"/>
  <c r="BK4" i="9"/>
  <c r="BJ4" i="9"/>
  <c r="BI4" i="9"/>
  <c r="BH4" i="9"/>
  <c r="BG4" i="9"/>
  <c r="BF4" i="9"/>
  <c r="BE4" i="9"/>
  <c r="BD4" i="9"/>
  <c r="BC4" i="9"/>
  <c r="BB4" i="9"/>
  <c r="BA4" i="9"/>
  <c r="AZ4" i="9"/>
  <c r="AY4" i="9"/>
  <c r="AX4" i="9"/>
  <c r="AW4" i="9"/>
  <c r="AV4" i="9"/>
  <c r="AU4" i="9"/>
  <c r="AT4" i="9"/>
  <c r="AS4" i="9"/>
  <c r="AR4" i="9"/>
  <c r="AQ4" i="9"/>
  <c r="AP4" i="9"/>
  <c r="AO4" i="9"/>
  <c r="AN4" i="9"/>
  <c r="AM4" i="9"/>
  <c r="AL4" i="9"/>
  <c r="AK4" i="9"/>
  <c r="AJ4" i="9"/>
  <c r="AI4" i="9"/>
  <c r="AH4" i="9"/>
  <c r="AG4" i="9"/>
  <c r="AF4" i="9"/>
  <c r="AE4" i="9"/>
  <c r="AD4" i="9"/>
  <c r="AC4" i="9"/>
  <c r="AB4" i="9"/>
  <c r="AA4" i="9"/>
  <c r="Z4" i="9"/>
  <c r="Y4" i="9"/>
  <c r="X4" i="9"/>
  <c r="W4" i="9"/>
  <c r="V4" i="9"/>
  <c r="U4" i="9"/>
  <c r="T4" i="9"/>
  <c r="S4" i="9"/>
  <c r="R4" i="9"/>
  <c r="Q4" i="9"/>
  <c r="P4" i="9"/>
  <c r="O4" i="9"/>
  <c r="N4" i="9"/>
  <c r="M4" i="9"/>
  <c r="L4" i="9"/>
  <c r="K4" i="9"/>
  <c r="J4" i="9"/>
  <c r="I4" i="9"/>
  <c r="H4" i="9"/>
  <c r="G4" i="9"/>
  <c r="F4" i="9"/>
  <c r="E4" i="9"/>
  <c r="D4" i="9"/>
  <c r="C4" i="9"/>
  <c r="B4" i="9"/>
  <c r="B185" i="10"/>
  <c r="B184" i="10"/>
  <c r="B183" i="10"/>
  <c r="B182" i="10"/>
  <c r="B181" i="10"/>
  <c r="B180" i="10"/>
  <c r="B179" i="10"/>
  <c r="B178" i="10"/>
  <c r="B176" i="10"/>
  <c r="B175" i="10"/>
  <c r="B174" i="10"/>
  <c r="B168" i="10"/>
  <c r="C163" i="10"/>
  <c r="G160" i="10"/>
  <c r="F160" i="10"/>
  <c r="E160" i="10"/>
  <c r="D160" i="10"/>
  <c r="C160" i="10"/>
  <c r="B160" i="10"/>
  <c r="G159" i="10"/>
  <c r="F159" i="10"/>
  <c r="E159" i="10"/>
  <c r="D159" i="10"/>
  <c r="C159" i="10"/>
  <c r="B159" i="10"/>
  <c r="G158" i="10"/>
  <c r="F158" i="10"/>
  <c r="E158" i="10"/>
  <c r="D158" i="10"/>
  <c r="C158" i="10"/>
  <c r="B158" i="10"/>
  <c r="G157" i="10"/>
  <c r="F157" i="10"/>
  <c r="E157" i="10"/>
  <c r="D157" i="10"/>
  <c r="C157" i="10"/>
  <c r="B157" i="10"/>
  <c r="G156" i="10"/>
  <c r="F156" i="10"/>
  <c r="E156" i="10"/>
  <c r="D156" i="10"/>
  <c r="C156" i="10"/>
  <c r="B156" i="10"/>
  <c r="G155" i="10"/>
  <c r="F155" i="10"/>
  <c r="E155" i="10"/>
  <c r="D155" i="10"/>
  <c r="C155" i="10"/>
  <c r="B155" i="10"/>
  <c r="G154" i="10"/>
  <c r="F154" i="10"/>
  <c r="E154" i="10"/>
  <c r="D154" i="10"/>
  <c r="C154" i="10"/>
  <c r="B154" i="10"/>
  <c r="G152" i="10"/>
  <c r="F152" i="10"/>
  <c r="E152" i="10"/>
  <c r="D152" i="10"/>
  <c r="C152" i="10"/>
  <c r="B152" i="10"/>
  <c r="G151" i="10"/>
  <c r="F151" i="10"/>
  <c r="E151" i="10"/>
  <c r="D151" i="10"/>
  <c r="C151" i="10"/>
  <c r="B151" i="10"/>
  <c r="G150" i="10"/>
  <c r="F150" i="10"/>
  <c r="E150" i="10"/>
  <c r="D150" i="10"/>
  <c r="C150" i="10"/>
  <c r="B150" i="10"/>
  <c r="G149" i="10"/>
  <c r="F149" i="10"/>
  <c r="E149" i="10"/>
  <c r="D149" i="10"/>
  <c r="C149" i="10"/>
  <c r="B149" i="10"/>
  <c r="G148" i="10"/>
  <c r="F148" i="10"/>
  <c r="E148" i="10"/>
  <c r="D148" i="10"/>
  <c r="C148" i="10"/>
  <c r="B148" i="10"/>
  <c r="G147" i="10"/>
  <c r="F147" i="10"/>
  <c r="E147" i="10"/>
  <c r="D147" i="10"/>
  <c r="C147" i="10"/>
  <c r="B147" i="10"/>
  <c r="A146" i="10"/>
  <c r="G144" i="10"/>
  <c r="F144" i="10"/>
  <c r="E144" i="10"/>
  <c r="D144" i="10"/>
  <c r="C144" i="10"/>
  <c r="B144" i="10"/>
  <c r="G143" i="10"/>
  <c r="F143" i="10"/>
  <c r="E143" i="10"/>
  <c r="D143" i="10"/>
  <c r="C143" i="10"/>
  <c r="B143" i="10"/>
  <c r="G142" i="10"/>
  <c r="F142" i="10"/>
  <c r="E142" i="10"/>
  <c r="D142" i="10"/>
  <c r="C142" i="10"/>
  <c r="B142" i="10"/>
  <c r="G141" i="10"/>
  <c r="F141" i="10"/>
  <c r="E141" i="10"/>
  <c r="D141" i="10"/>
  <c r="C141" i="10"/>
  <c r="B141" i="10"/>
  <c r="G140" i="10"/>
  <c r="F140" i="10"/>
  <c r="E140" i="10"/>
  <c r="D140" i="10"/>
  <c r="C140" i="10"/>
  <c r="B140" i="10"/>
  <c r="G139" i="10"/>
  <c r="F139" i="10"/>
  <c r="E139" i="10"/>
  <c r="D139" i="10"/>
  <c r="C139" i="10"/>
  <c r="B139" i="10"/>
  <c r="G138" i="10"/>
  <c r="F138" i="10"/>
  <c r="E138" i="10"/>
  <c r="D138" i="10"/>
  <c r="C138" i="10"/>
  <c r="B138" i="10"/>
  <c r="G136" i="10"/>
  <c r="F136" i="10"/>
  <c r="E136" i="10"/>
  <c r="D136" i="10"/>
  <c r="C136" i="10"/>
  <c r="B136" i="10"/>
  <c r="G135" i="10"/>
  <c r="F135" i="10"/>
  <c r="E135" i="10"/>
  <c r="D135" i="10"/>
  <c r="C135" i="10"/>
  <c r="B135" i="10"/>
  <c r="G134" i="10"/>
  <c r="F134" i="10"/>
  <c r="E134" i="10"/>
  <c r="D134" i="10"/>
  <c r="C134" i="10"/>
  <c r="B134" i="10"/>
  <c r="G133" i="10"/>
  <c r="F133" i="10"/>
  <c r="E133" i="10"/>
  <c r="D133" i="10"/>
  <c r="C133" i="10"/>
  <c r="B133" i="10"/>
  <c r="G132" i="10"/>
  <c r="F132" i="10"/>
  <c r="E132" i="10"/>
  <c r="D132" i="10"/>
  <c r="C132" i="10"/>
  <c r="B132" i="10"/>
  <c r="G131" i="10"/>
  <c r="F131" i="10"/>
  <c r="E131" i="10"/>
  <c r="D131" i="10"/>
  <c r="C131" i="10"/>
  <c r="B131" i="10"/>
  <c r="A130" i="10"/>
  <c r="G128" i="10"/>
  <c r="F128" i="10"/>
  <c r="E128" i="10"/>
  <c r="D128" i="10"/>
  <c r="C128" i="10"/>
  <c r="B128" i="10"/>
  <c r="G127" i="10"/>
  <c r="F127" i="10"/>
  <c r="E127" i="10"/>
  <c r="D127" i="10"/>
  <c r="C127" i="10"/>
  <c r="B127" i="10"/>
  <c r="G126" i="10"/>
  <c r="F126" i="10"/>
  <c r="E126" i="10"/>
  <c r="D126" i="10"/>
  <c r="C126" i="10"/>
  <c r="B126" i="10"/>
  <c r="G125" i="10"/>
  <c r="F125" i="10"/>
  <c r="E125" i="10"/>
  <c r="D125" i="10"/>
  <c r="C125" i="10"/>
  <c r="B125" i="10"/>
  <c r="G124" i="10"/>
  <c r="F124" i="10"/>
  <c r="E124" i="10"/>
  <c r="D124" i="10"/>
  <c r="C124" i="10"/>
  <c r="B124" i="10"/>
  <c r="G123" i="10"/>
  <c r="F123" i="10"/>
  <c r="E123" i="10"/>
  <c r="D123" i="10"/>
  <c r="C123" i="10"/>
  <c r="B123" i="10"/>
  <c r="G122" i="10"/>
  <c r="F122" i="10"/>
  <c r="E122" i="10"/>
  <c r="D122" i="10"/>
  <c r="C122" i="10"/>
  <c r="B122" i="10"/>
  <c r="G120" i="10"/>
  <c r="F120" i="10"/>
  <c r="E120" i="10"/>
  <c r="D120" i="10"/>
  <c r="C120" i="10"/>
  <c r="B120" i="10"/>
  <c r="G119" i="10"/>
  <c r="F119" i="10"/>
  <c r="E119" i="10"/>
  <c r="D119" i="10"/>
  <c r="C119" i="10"/>
  <c r="B119" i="10"/>
  <c r="G118" i="10"/>
  <c r="F118" i="10"/>
  <c r="E118" i="10"/>
  <c r="D118" i="10"/>
  <c r="C118" i="10"/>
  <c r="B118" i="10"/>
  <c r="G117" i="10"/>
  <c r="F117" i="10"/>
  <c r="E117" i="10"/>
  <c r="D117" i="10"/>
  <c r="C117" i="10"/>
  <c r="B117" i="10"/>
  <c r="G116" i="10"/>
  <c r="F116" i="10"/>
  <c r="E116" i="10"/>
  <c r="D116" i="10"/>
  <c r="C116" i="10"/>
  <c r="B116" i="10"/>
  <c r="G115" i="10"/>
  <c r="F115" i="10"/>
  <c r="E115" i="10"/>
  <c r="D115" i="10"/>
  <c r="C115" i="10"/>
  <c r="B115" i="10"/>
  <c r="A114" i="10"/>
  <c r="G112" i="10"/>
  <c r="F112" i="10"/>
  <c r="E112" i="10"/>
  <c r="D112" i="10"/>
  <c r="C112" i="10"/>
  <c r="B112" i="10"/>
  <c r="G111" i="10"/>
  <c r="F111" i="10"/>
  <c r="E111" i="10"/>
  <c r="D111" i="10"/>
  <c r="C111" i="10"/>
  <c r="B111" i="10"/>
  <c r="G110" i="10"/>
  <c r="F110" i="10"/>
  <c r="E110" i="10"/>
  <c r="D110" i="10"/>
  <c r="C110" i="10"/>
  <c r="B110" i="10"/>
  <c r="G109" i="10"/>
  <c r="F109" i="10"/>
  <c r="E109" i="10"/>
  <c r="D109" i="10"/>
  <c r="C109" i="10"/>
  <c r="B109" i="10"/>
  <c r="G108" i="10"/>
  <c r="F108" i="10"/>
  <c r="E108" i="10"/>
  <c r="D108" i="10"/>
  <c r="C108" i="10"/>
  <c r="B108" i="10"/>
  <c r="G107" i="10"/>
  <c r="F107" i="10"/>
  <c r="E107" i="10"/>
  <c r="D107" i="10"/>
  <c r="C107" i="10"/>
  <c r="B107" i="10"/>
  <c r="G106" i="10"/>
  <c r="F106" i="10"/>
  <c r="E106" i="10"/>
  <c r="D106" i="10"/>
  <c r="C106" i="10"/>
  <c r="B106" i="10"/>
  <c r="G104" i="10"/>
  <c r="F104" i="10"/>
  <c r="E104" i="10"/>
  <c r="D104" i="10"/>
  <c r="C104" i="10"/>
  <c r="B104" i="10"/>
  <c r="G103" i="10"/>
  <c r="F103" i="10"/>
  <c r="E103" i="10"/>
  <c r="D103" i="10"/>
  <c r="C103" i="10"/>
  <c r="B103" i="10"/>
  <c r="G102" i="10"/>
  <c r="F102" i="10"/>
  <c r="E102" i="10"/>
  <c r="D102" i="10"/>
  <c r="C102" i="10"/>
  <c r="B102" i="10"/>
  <c r="G101" i="10"/>
  <c r="F101" i="10"/>
  <c r="E101" i="10"/>
  <c r="D101" i="10"/>
  <c r="C101" i="10"/>
  <c r="B101" i="10"/>
  <c r="G100" i="10"/>
  <c r="F100" i="10"/>
  <c r="E100" i="10"/>
  <c r="D100" i="10"/>
  <c r="C100" i="10"/>
  <c r="B100" i="10"/>
  <c r="G99" i="10"/>
  <c r="F99" i="10"/>
  <c r="E99" i="10"/>
  <c r="D99" i="10"/>
  <c r="C99" i="10"/>
  <c r="B99" i="10"/>
  <c r="A98" i="10"/>
  <c r="G96" i="10"/>
  <c r="F96" i="10"/>
  <c r="E96" i="10"/>
  <c r="D96" i="10"/>
  <c r="C96" i="10"/>
  <c r="B96" i="10"/>
  <c r="G95" i="10"/>
  <c r="F95" i="10"/>
  <c r="E95" i="10"/>
  <c r="D95" i="10"/>
  <c r="C95" i="10"/>
  <c r="B95" i="10"/>
  <c r="G94" i="10"/>
  <c r="F94" i="10"/>
  <c r="E94" i="10"/>
  <c r="D94" i="10"/>
  <c r="C94" i="10"/>
  <c r="B94" i="10"/>
  <c r="G93" i="10"/>
  <c r="F93" i="10"/>
  <c r="E93" i="10"/>
  <c r="D93" i="10"/>
  <c r="C93" i="10"/>
  <c r="B93" i="10"/>
  <c r="G92" i="10"/>
  <c r="F92" i="10"/>
  <c r="E92" i="10"/>
  <c r="D92" i="10"/>
  <c r="C92" i="10"/>
  <c r="B92" i="10"/>
  <c r="G91" i="10"/>
  <c r="F91" i="10"/>
  <c r="E91" i="10"/>
  <c r="D91" i="10"/>
  <c r="C91" i="10"/>
  <c r="B91" i="10"/>
  <c r="G90" i="10"/>
  <c r="F90" i="10"/>
  <c r="E90" i="10"/>
  <c r="D90" i="10"/>
  <c r="C90" i="10"/>
  <c r="B90" i="10"/>
  <c r="G88" i="10"/>
  <c r="F88" i="10"/>
  <c r="E88" i="10"/>
  <c r="D88" i="10"/>
  <c r="C88" i="10"/>
  <c r="B88" i="10"/>
  <c r="G87" i="10"/>
  <c r="F87" i="10"/>
  <c r="E87" i="10"/>
  <c r="D87" i="10"/>
  <c r="C87" i="10"/>
  <c r="B87" i="10"/>
  <c r="G86" i="10"/>
  <c r="F86" i="10"/>
  <c r="E86" i="10"/>
  <c r="D86" i="10"/>
  <c r="C86" i="10"/>
  <c r="B86" i="10"/>
  <c r="G85" i="10"/>
  <c r="F85" i="10"/>
  <c r="E85" i="10"/>
  <c r="D85" i="10"/>
  <c r="C85" i="10"/>
  <c r="B85" i="10"/>
  <c r="G84" i="10"/>
  <c r="F84" i="10"/>
  <c r="E84" i="10"/>
  <c r="D84" i="10"/>
  <c r="C84" i="10"/>
  <c r="B84" i="10"/>
  <c r="G83" i="10"/>
  <c r="F83" i="10"/>
  <c r="E83" i="10"/>
  <c r="D83" i="10"/>
  <c r="C83" i="10"/>
  <c r="B83" i="10"/>
  <c r="A82" i="10"/>
  <c r="G80" i="10"/>
  <c r="F80" i="10"/>
  <c r="E80" i="10"/>
  <c r="D80" i="10"/>
  <c r="C80" i="10"/>
  <c r="B80" i="10"/>
  <c r="G79" i="10"/>
  <c r="F79" i="10"/>
  <c r="E79" i="10"/>
  <c r="D79" i="10"/>
  <c r="C79" i="10"/>
  <c r="B79" i="10"/>
  <c r="G78" i="10"/>
  <c r="F78" i="10"/>
  <c r="E78" i="10"/>
  <c r="D78" i="10"/>
  <c r="C78" i="10"/>
  <c r="B78" i="10"/>
  <c r="G77" i="10"/>
  <c r="F77" i="10"/>
  <c r="E77" i="10"/>
  <c r="D77" i="10"/>
  <c r="C77" i="10"/>
  <c r="B77" i="10"/>
  <c r="G76" i="10"/>
  <c r="F76" i="10"/>
  <c r="E76" i="10"/>
  <c r="D76" i="10"/>
  <c r="C76" i="10"/>
  <c r="B76" i="10"/>
  <c r="G75" i="10"/>
  <c r="F75" i="10"/>
  <c r="E75" i="10"/>
  <c r="D75" i="10"/>
  <c r="C75" i="10"/>
  <c r="B75" i="10"/>
  <c r="G74" i="10"/>
  <c r="F74" i="10"/>
  <c r="E74" i="10"/>
  <c r="D74" i="10"/>
  <c r="C74" i="10"/>
  <c r="B74" i="10"/>
  <c r="G72" i="10"/>
  <c r="F72" i="10"/>
  <c r="E72" i="10"/>
  <c r="D72" i="10"/>
  <c r="C72" i="10"/>
  <c r="B72" i="10"/>
  <c r="G71" i="10"/>
  <c r="F71" i="10"/>
  <c r="E71" i="10"/>
  <c r="D71" i="10"/>
  <c r="C71" i="10"/>
  <c r="B71" i="10"/>
  <c r="G70" i="10"/>
  <c r="F70" i="10"/>
  <c r="E70" i="10"/>
  <c r="D70" i="10"/>
  <c r="C70" i="10"/>
  <c r="B70" i="10"/>
  <c r="G69" i="10"/>
  <c r="F69" i="10"/>
  <c r="E69" i="10"/>
  <c r="D69" i="10"/>
  <c r="C69" i="10"/>
  <c r="B69" i="10"/>
  <c r="G68" i="10"/>
  <c r="F68" i="10"/>
  <c r="E68" i="10"/>
  <c r="D68" i="10"/>
  <c r="C68" i="10"/>
  <c r="B68" i="10"/>
  <c r="G67" i="10"/>
  <c r="F67" i="10"/>
  <c r="E67" i="10"/>
  <c r="D67" i="10"/>
  <c r="C67" i="10"/>
  <c r="B67" i="10"/>
  <c r="A66" i="10"/>
  <c r="G64" i="10"/>
  <c r="F64" i="10"/>
  <c r="E64" i="10"/>
  <c r="D64" i="10"/>
  <c r="C64" i="10"/>
  <c r="B64" i="10"/>
  <c r="G63" i="10"/>
  <c r="F63" i="10"/>
  <c r="E63" i="10"/>
  <c r="D63" i="10"/>
  <c r="C63" i="10"/>
  <c r="B63" i="10"/>
  <c r="G62" i="10"/>
  <c r="F62" i="10"/>
  <c r="E62" i="10"/>
  <c r="D62" i="10"/>
  <c r="C62" i="10"/>
  <c r="B62" i="10"/>
  <c r="G61" i="10"/>
  <c r="F61" i="10"/>
  <c r="E61" i="10"/>
  <c r="D61" i="10"/>
  <c r="C61" i="10"/>
  <c r="B61" i="10"/>
  <c r="G60" i="10"/>
  <c r="F60" i="10"/>
  <c r="E60" i="10"/>
  <c r="D60" i="10"/>
  <c r="C60" i="10"/>
  <c r="B60" i="10"/>
  <c r="G59" i="10"/>
  <c r="F59" i="10"/>
  <c r="E59" i="10"/>
  <c r="D59" i="10"/>
  <c r="C59" i="10"/>
  <c r="B59" i="10"/>
  <c r="G58" i="10"/>
  <c r="F58" i="10"/>
  <c r="E58" i="10"/>
  <c r="D58" i="10"/>
  <c r="C58" i="10"/>
  <c r="B58" i="10"/>
  <c r="G56" i="10"/>
  <c r="F56" i="10"/>
  <c r="E56" i="10"/>
  <c r="D56" i="10"/>
  <c r="C56" i="10"/>
  <c r="B56" i="10"/>
  <c r="G55" i="10"/>
  <c r="F55" i="10"/>
  <c r="E55" i="10"/>
  <c r="D55" i="10"/>
  <c r="C55" i="10"/>
  <c r="B55" i="10"/>
  <c r="G54" i="10"/>
  <c r="F54" i="10"/>
  <c r="E54" i="10"/>
  <c r="D54" i="10"/>
  <c r="C54" i="10"/>
  <c r="B54" i="10"/>
  <c r="G53" i="10"/>
  <c r="F53" i="10"/>
  <c r="E53" i="10"/>
  <c r="D53" i="10"/>
  <c r="C53" i="10"/>
  <c r="B53" i="10"/>
  <c r="G52" i="10"/>
  <c r="F52" i="10"/>
  <c r="E52" i="10"/>
  <c r="D52" i="10"/>
  <c r="C52" i="10"/>
  <c r="B52" i="10"/>
  <c r="G51" i="10"/>
  <c r="F51" i="10"/>
  <c r="E51" i="10"/>
  <c r="D51" i="10"/>
  <c r="C51" i="10"/>
  <c r="B51" i="10"/>
  <c r="A50" i="10"/>
  <c r="G48" i="10"/>
  <c r="F48" i="10"/>
  <c r="E48" i="10"/>
  <c r="D48" i="10"/>
  <c r="C48" i="10"/>
  <c r="B48" i="10"/>
  <c r="G47" i="10"/>
  <c r="F47" i="10"/>
  <c r="E47" i="10"/>
  <c r="D47" i="10"/>
  <c r="C47" i="10"/>
  <c r="B47" i="10"/>
  <c r="G46" i="10"/>
  <c r="F46" i="10"/>
  <c r="E46" i="10"/>
  <c r="D46" i="10"/>
  <c r="C46" i="10"/>
  <c r="B46" i="10"/>
  <c r="G45" i="10"/>
  <c r="F45" i="10"/>
  <c r="E45" i="10"/>
  <c r="D45" i="10"/>
  <c r="C45" i="10"/>
  <c r="B45" i="10"/>
  <c r="G44" i="10"/>
  <c r="F44" i="10"/>
  <c r="E44" i="10"/>
  <c r="D44" i="10"/>
  <c r="C44" i="10"/>
  <c r="B44" i="10"/>
  <c r="G43" i="10"/>
  <c r="F43" i="10"/>
  <c r="E43" i="10"/>
  <c r="D43" i="10"/>
  <c r="C43" i="10"/>
  <c r="B43" i="10"/>
  <c r="G42" i="10"/>
  <c r="F42" i="10"/>
  <c r="E42" i="10"/>
  <c r="D42" i="10"/>
  <c r="C42" i="10"/>
  <c r="B42" i="10"/>
  <c r="G40" i="10"/>
  <c r="F40" i="10"/>
  <c r="E40" i="10"/>
  <c r="D40" i="10"/>
  <c r="C40" i="10"/>
  <c r="B40" i="10"/>
  <c r="G39" i="10"/>
  <c r="F39" i="10"/>
  <c r="E39" i="10"/>
  <c r="D39" i="10"/>
  <c r="C39" i="10"/>
  <c r="B39" i="10"/>
  <c r="G38" i="10"/>
  <c r="F38" i="10"/>
  <c r="E38" i="10"/>
  <c r="D38" i="10"/>
  <c r="C38" i="10"/>
  <c r="B38" i="10"/>
  <c r="G37" i="10"/>
  <c r="F37" i="10"/>
  <c r="E37" i="10"/>
  <c r="D37" i="10"/>
  <c r="C37" i="10"/>
  <c r="B37" i="10"/>
  <c r="G36" i="10"/>
  <c r="F36" i="10"/>
  <c r="E36" i="10"/>
  <c r="D36" i="10"/>
  <c r="C36" i="10"/>
  <c r="B36" i="10"/>
  <c r="G35" i="10"/>
  <c r="F35" i="10"/>
  <c r="E35" i="10"/>
  <c r="D35" i="10"/>
  <c r="C35" i="10"/>
  <c r="B35" i="10"/>
  <c r="A34" i="10"/>
  <c r="G32" i="10"/>
  <c r="F32" i="10"/>
  <c r="E32" i="10"/>
  <c r="D32" i="10"/>
  <c r="C32" i="10"/>
  <c r="B32" i="10"/>
  <c r="G31" i="10"/>
  <c r="F31" i="10"/>
  <c r="E31" i="10"/>
  <c r="D31" i="10"/>
  <c r="C31" i="10"/>
  <c r="B31" i="10"/>
  <c r="G30" i="10"/>
  <c r="F30" i="10"/>
  <c r="E30" i="10"/>
  <c r="D30" i="10"/>
  <c r="C30" i="10"/>
  <c r="B30" i="10"/>
  <c r="G29" i="10"/>
  <c r="F29" i="10"/>
  <c r="E29" i="10"/>
  <c r="D29" i="10"/>
  <c r="C29" i="10"/>
  <c r="B29" i="10"/>
  <c r="G28" i="10"/>
  <c r="F28" i="10"/>
  <c r="E28" i="10"/>
  <c r="D28" i="10"/>
  <c r="C28" i="10"/>
  <c r="B28" i="10"/>
  <c r="G27" i="10"/>
  <c r="F27" i="10"/>
  <c r="E27" i="10"/>
  <c r="D27" i="10"/>
  <c r="C27" i="10"/>
  <c r="B27" i="10"/>
  <c r="G26" i="10"/>
  <c r="F26" i="10"/>
  <c r="E26" i="10"/>
  <c r="D26" i="10"/>
  <c r="C26" i="10"/>
  <c r="B26" i="10"/>
  <c r="G24" i="10"/>
  <c r="F24" i="10"/>
  <c r="E24" i="10"/>
  <c r="D24" i="10"/>
  <c r="C24" i="10"/>
  <c r="B24" i="10"/>
  <c r="G23" i="10"/>
  <c r="F23" i="10"/>
  <c r="E23" i="10"/>
  <c r="D23" i="10"/>
  <c r="C23" i="10"/>
  <c r="B23" i="10"/>
  <c r="G22" i="10"/>
  <c r="F22" i="10"/>
  <c r="E22" i="10"/>
  <c r="D22" i="10"/>
  <c r="C22" i="10"/>
  <c r="B22" i="10"/>
  <c r="G21" i="10"/>
  <c r="F21" i="10"/>
  <c r="E21" i="10"/>
  <c r="D21" i="10"/>
  <c r="C21" i="10"/>
  <c r="B21" i="10"/>
  <c r="G20" i="10"/>
  <c r="F20" i="10"/>
  <c r="E20" i="10"/>
  <c r="D20" i="10"/>
  <c r="C20" i="10"/>
  <c r="B20" i="10"/>
  <c r="G19" i="10"/>
  <c r="F19" i="10"/>
  <c r="E19" i="10"/>
  <c r="D19" i="10"/>
  <c r="C19" i="10"/>
  <c r="A18" i="10"/>
  <c r="F25" i="11"/>
  <c r="E25" i="11"/>
  <c r="D25" i="11"/>
  <c r="C25" i="11"/>
  <c r="B25" i="11"/>
  <c r="F24" i="11"/>
  <c r="E24" i="11"/>
  <c r="D24" i="11"/>
  <c r="C24" i="11"/>
  <c r="B24" i="11"/>
  <c r="F23" i="11"/>
  <c r="E23" i="11"/>
  <c r="D23" i="11"/>
  <c r="C23" i="11"/>
  <c r="B23" i="11"/>
  <c r="F22" i="11"/>
  <c r="E22" i="11"/>
  <c r="D22" i="11"/>
  <c r="C22" i="11"/>
  <c r="B22" i="11"/>
  <c r="F21" i="11"/>
  <c r="E21" i="11"/>
  <c r="D21" i="11"/>
  <c r="C21" i="11"/>
  <c r="B21" i="11"/>
  <c r="F18" i="11"/>
  <c r="E18" i="11"/>
  <c r="D18" i="11"/>
  <c r="C18" i="11"/>
  <c r="B18" i="11"/>
  <c r="F17" i="11"/>
  <c r="E17" i="11"/>
  <c r="D17" i="11"/>
  <c r="C17" i="11"/>
  <c r="B17" i="11"/>
  <c r="F14" i="11"/>
  <c r="E14" i="11"/>
  <c r="D14" i="11"/>
  <c r="C14" i="11"/>
  <c r="B14" i="11"/>
  <c r="F13" i="11"/>
  <c r="E13" i="11"/>
  <c r="D13" i="11"/>
  <c r="C13" i="11"/>
  <c r="B13" i="11"/>
  <c r="F12" i="11"/>
  <c r="E12" i="11"/>
  <c r="D12" i="11"/>
  <c r="C12" i="11"/>
  <c r="B12" i="11"/>
  <c r="F9" i="11"/>
  <c r="E9" i="11"/>
  <c r="D9" i="11"/>
  <c r="C9" i="11"/>
  <c r="B9" i="11"/>
  <c r="F8" i="11"/>
  <c r="E8" i="11"/>
  <c r="D8" i="11"/>
  <c r="C8" i="11"/>
  <c r="B8" i="11"/>
  <c r="F6" i="11"/>
  <c r="E6" i="11"/>
  <c r="D6" i="11"/>
  <c r="C6" i="11"/>
  <c r="B6" i="11"/>
  <c r="F5" i="11"/>
  <c r="E5" i="11"/>
  <c r="D5" i="11"/>
  <c r="C5" i="11"/>
  <c r="B5" i="11"/>
  <c r="F3" i="11"/>
  <c r="E3" i="11"/>
  <c r="D3" i="11"/>
  <c r="C3" i="11"/>
  <c r="B3" i="11"/>
  <c r="F2" i="11"/>
  <c r="E2" i="11"/>
  <c r="D2" i="11"/>
  <c r="C2" i="11"/>
  <c r="B2" i="11"/>
  <c r="B31" i="31"/>
  <c r="B24" i="31"/>
  <c r="B23" i="31"/>
  <c r="C20" i="31"/>
  <c r="A20" i="31"/>
  <c r="G19" i="31"/>
  <c r="D19" i="31"/>
  <c r="G18" i="31"/>
  <c r="D18" i="31"/>
  <c r="C18" i="31"/>
  <c r="G17" i="31"/>
  <c r="E17" i="31"/>
  <c r="D17" i="31"/>
  <c r="C17" i="31"/>
  <c r="H16" i="31"/>
  <c r="G16" i="31"/>
  <c r="D16" i="31"/>
  <c r="C16" i="31"/>
  <c r="E12" i="31"/>
  <c r="E11" i="31"/>
  <c r="E10" i="31"/>
  <c r="D10" i="31"/>
  <c r="C10" i="31"/>
  <c r="C5" i="31"/>
  <c r="C4" i="31"/>
  <c r="E54" i="30"/>
  <c r="D54" i="30"/>
  <c r="C54" i="30"/>
  <c r="E53" i="30"/>
  <c r="D53" i="30"/>
  <c r="C53" i="30"/>
  <c r="C52" i="30"/>
  <c r="C48" i="30"/>
  <c r="D47" i="30"/>
  <c r="F46" i="30"/>
  <c r="C46" i="30"/>
  <c r="G45" i="30"/>
  <c r="C45" i="30"/>
  <c r="C44" i="30"/>
  <c r="E39" i="30"/>
  <c r="E38" i="30"/>
  <c r="E37" i="30"/>
  <c r="E34" i="30"/>
  <c r="C29" i="30"/>
  <c r="C25" i="30"/>
  <c r="E24" i="30"/>
  <c r="F23" i="30"/>
  <c r="D23" i="30"/>
  <c r="F22" i="30"/>
  <c r="D22" i="30"/>
  <c r="C22" i="30"/>
  <c r="I21" i="30"/>
  <c r="G21" i="30"/>
  <c r="E21" i="30"/>
  <c r="C21" i="30"/>
  <c r="I20" i="30"/>
  <c r="E20" i="30"/>
  <c r="C20" i="30"/>
  <c r="C15" i="30"/>
  <c r="C13" i="30"/>
  <c r="C12" i="30"/>
  <c r="E5" i="30"/>
  <c r="E4" i="30"/>
  <c r="F40" i="29"/>
  <c r="F39" i="29"/>
  <c r="F38" i="29"/>
  <c r="F37" i="29"/>
  <c r="F36" i="29"/>
  <c r="F35" i="29"/>
  <c r="B32" i="29"/>
  <c r="B30" i="29"/>
  <c r="B26" i="29"/>
  <c r="B22" i="29"/>
  <c r="G21" i="29"/>
  <c r="G19" i="29"/>
  <c r="I17" i="29"/>
  <c r="G17" i="29"/>
  <c r="C17" i="29"/>
  <c r="I15" i="29"/>
  <c r="G15" i="29"/>
  <c r="B14" i="29"/>
  <c r="B13" i="29"/>
  <c r="B12" i="29"/>
  <c r="G11" i="29"/>
  <c r="B11" i="29"/>
  <c r="B10" i="29"/>
  <c r="K9" i="29"/>
  <c r="H9" i="29"/>
  <c r="G9" i="29"/>
  <c r="F9" i="29"/>
  <c r="K8" i="29"/>
  <c r="F8" i="29"/>
  <c r="C8" i="29"/>
  <c r="H7" i="29"/>
  <c r="G7" i="29"/>
  <c r="J5" i="29"/>
  <c r="I5" i="29"/>
  <c r="H5" i="29"/>
  <c r="G5" i="29"/>
  <c r="F5" i="29"/>
  <c r="D21" i="28"/>
  <c r="E20" i="28"/>
  <c r="C20" i="28"/>
  <c r="I19" i="28"/>
  <c r="G19" i="28"/>
  <c r="E19" i="28"/>
  <c r="C19" i="28"/>
  <c r="A19" i="28"/>
  <c r="I18" i="28"/>
  <c r="H18" i="28"/>
  <c r="G18" i="28"/>
  <c r="F18" i="28"/>
  <c r="E18" i="28"/>
  <c r="D18" i="28"/>
  <c r="C18" i="28"/>
  <c r="B18" i="28"/>
  <c r="A18" i="28"/>
  <c r="C16" i="28"/>
  <c r="A16" i="28"/>
  <c r="C15" i="28"/>
  <c r="A15" i="28"/>
  <c r="E13" i="28"/>
  <c r="F12" i="28"/>
  <c r="D12" i="28"/>
  <c r="E11" i="28"/>
  <c r="C11" i="28"/>
  <c r="G10" i="28"/>
  <c r="C10" i="28"/>
  <c r="A10" i="28"/>
  <c r="K8" i="28"/>
  <c r="D6" i="28"/>
  <c r="E5" i="28"/>
  <c r="C5" i="28"/>
  <c r="C111" i="27"/>
  <c r="A111" i="27"/>
  <c r="E110" i="27"/>
  <c r="C110" i="27"/>
  <c r="A110" i="27"/>
  <c r="E109" i="27"/>
  <c r="C109" i="27"/>
  <c r="C107" i="27"/>
  <c r="C106" i="27"/>
  <c r="B106" i="27"/>
  <c r="A106" i="27"/>
  <c r="C105" i="27"/>
  <c r="B105" i="27"/>
  <c r="A105" i="27"/>
  <c r="C101" i="27"/>
  <c r="A101" i="27"/>
  <c r="E100" i="27"/>
  <c r="C100" i="27"/>
  <c r="A100" i="27"/>
  <c r="E99" i="27"/>
  <c r="D99" i="27"/>
  <c r="C99" i="27"/>
  <c r="C97" i="27"/>
  <c r="A97" i="27"/>
  <c r="C95" i="27"/>
  <c r="B95" i="27"/>
  <c r="A95" i="27"/>
  <c r="I94" i="27"/>
  <c r="G94" i="27"/>
  <c r="E94" i="27"/>
  <c r="C94" i="27"/>
  <c r="B94" i="27"/>
  <c r="A94" i="27"/>
  <c r="G93" i="27"/>
  <c r="F93" i="27"/>
  <c r="E93" i="27"/>
  <c r="D93" i="27"/>
  <c r="C93" i="27"/>
  <c r="B93" i="27"/>
  <c r="A93" i="27"/>
  <c r="J91" i="27"/>
  <c r="H91" i="27"/>
  <c r="J90" i="27"/>
  <c r="H90" i="27"/>
  <c r="E90" i="27"/>
  <c r="C90" i="27"/>
  <c r="C89" i="27"/>
  <c r="E86" i="27"/>
  <c r="C86" i="27"/>
  <c r="C79" i="27"/>
  <c r="G78" i="27"/>
  <c r="E78" i="27"/>
  <c r="C78" i="27"/>
  <c r="G77" i="27"/>
  <c r="F77" i="27"/>
  <c r="E77" i="27"/>
  <c r="D77" i="27"/>
  <c r="C77" i="27"/>
  <c r="B77" i="27"/>
  <c r="A77" i="27"/>
  <c r="C74" i="27"/>
  <c r="A74" i="27"/>
  <c r="F73" i="27"/>
  <c r="A73" i="27"/>
  <c r="G72" i="27"/>
  <c r="D72" i="27"/>
  <c r="G71" i="27"/>
  <c r="F71" i="27"/>
  <c r="E71" i="27"/>
  <c r="D71" i="27"/>
  <c r="C71" i="27"/>
  <c r="B71" i="27"/>
  <c r="A71" i="27"/>
  <c r="C70" i="27"/>
  <c r="A70" i="27"/>
  <c r="D66" i="27"/>
  <c r="A66" i="27"/>
  <c r="E65" i="27"/>
  <c r="C65" i="27"/>
  <c r="E64" i="27"/>
  <c r="C64" i="27"/>
  <c r="C61" i="27"/>
  <c r="A61" i="27"/>
  <c r="F60" i="27"/>
  <c r="A60" i="27"/>
  <c r="G59" i="27"/>
  <c r="D59" i="27"/>
  <c r="G58" i="27"/>
  <c r="E58" i="27"/>
  <c r="D58" i="27"/>
  <c r="C58" i="27"/>
  <c r="B58" i="27"/>
  <c r="A58" i="27"/>
  <c r="G55" i="27"/>
  <c r="C55" i="27"/>
  <c r="B55" i="27"/>
  <c r="C46" i="27"/>
  <c r="A46" i="27"/>
  <c r="G45" i="27"/>
  <c r="E45" i="27"/>
  <c r="C45" i="27"/>
  <c r="G44" i="27"/>
  <c r="F44" i="27"/>
  <c r="E44" i="27"/>
  <c r="D44" i="27"/>
  <c r="C44" i="27"/>
  <c r="B44" i="27"/>
  <c r="A44" i="27"/>
  <c r="C42" i="27"/>
  <c r="B42" i="27"/>
  <c r="A42" i="27"/>
  <c r="C41" i="27"/>
  <c r="B41" i="27"/>
  <c r="A41" i="27"/>
  <c r="C40" i="27"/>
  <c r="B40" i="27"/>
  <c r="A40" i="27"/>
  <c r="C37" i="27"/>
  <c r="A37" i="27"/>
  <c r="G36" i="27"/>
  <c r="E36" i="27"/>
  <c r="C36" i="27"/>
  <c r="A36" i="27"/>
  <c r="G35" i="27"/>
  <c r="E35" i="27"/>
  <c r="C35" i="27"/>
  <c r="J33" i="27"/>
  <c r="H33" i="27"/>
  <c r="J32" i="27"/>
  <c r="E32" i="27"/>
  <c r="C32" i="27"/>
  <c r="C31" i="27"/>
  <c r="C28" i="27"/>
  <c r="A28" i="27"/>
  <c r="F27" i="27"/>
  <c r="A27" i="27"/>
  <c r="G26" i="27"/>
  <c r="D26" i="27"/>
  <c r="G25" i="27"/>
  <c r="E25" i="27"/>
  <c r="C25" i="27"/>
  <c r="A25" i="27"/>
  <c r="C24" i="27"/>
  <c r="C21" i="27"/>
  <c r="A21" i="27"/>
  <c r="F20" i="27"/>
  <c r="A20" i="27"/>
  <c r="G19" i="27"/>
  <c r="D19" i="27"/>
  <c r="G18" i="27"/>
  <c r="E18" i="27"/>
  <c r="C18" i="27"/>
  <c r="A18" i="27"/>
  <c r="B6" i="27"/>
  <c r="B5" i="27"/>
  <c r="B4" i="27"/>
  <c r="B3" i="27"/>
  <c r="B2" i="27"/>
  <c r="J8" i="7"/>
  <c r="I8" i="7"/>
  <c r="G8" i="7"/>
  <c r="F8" i="7"/>
  <c r="E8" i="7"/>
  <c r="D8" i="7"/>
  <c r="C8" i="7"/>
  <c r="B8" i="7"/>
  <c r="J7" i="7"/>
  <c r="I7" i="7"/>
  <c r="G7" i="7"/>
  <c r="F7" i="7"/>
  <c r="E7" i="7"/>
  <c r="D7" i="7"/>
  <c r="C7" i="7"/>
  <c r="B7" i="7"/>
  <c r="J6" i="7"/>
  <c r="C6" i="7"/>
  <c r="C6" i="7" a="1"/>
  <c r="G5" i="7"/>
  <c r="F5" i="7"/>
  <c r="E5" i="7"/>
  <c r="D5" i="7"/>
  <c r="C5" i="7"/>
  <c r="B5" i="7"/>
  <c r="D57" i="6"/>
  <c r="C57" i="6"/>
  <c r="B57" i="6"/>
  <c r="D56" i="6"/>
  <c r="C56" i="6"/>
  <c r="B56" i="6"/>
  <c r="D55" i="6"/>
  <c r="C55" i="6"/>
  <c r="B55" i="6"/>
  <c r="X49" i="6"/>
  <c r="W49" i="6"/>
  <c r="V49" i="6"/>
  <c r="U49" i="6"/>
  <c r="P49" i="6"/>
  <c r="O49" i="6"/>
  <c r="N49" i="6"/>
  <c r="M49" i="6"/>
  <c r="K49" i="6"/>
  <c r="J49" i="6"/>
  <c r="I49" i="6"/>
  <c r="G49" i="6"/>
  <c r="F49" i="6"/>
  <c r="E49" i="6"/>
  <c r="D49" i="6"/>
  <c r="C49" i="6"/>
  <c r="B49" i="6"/>
  <c r="X48" i="6"/>
  <c r="P48" i="6"/>
  <c r="O48" i="6"/>
  <c r="G48" i="6"/>
  <c r="F48" i="6"/>
  <c r="E48" i="6"/>
  <c r="W47" i="6"/>
  <c r="V47" i="6"/>
  <c r="U47" i="6"/>
  <c r="N47" i="6"/>
  <c r="M47" i="6"/>
  <c r="K47" i="6"/>
  <c r="J47" i="6"/>
  <c r="I47" i="6"/>
  <c r="G47" i="6"/>
  <c r="F47" i="6"/>
  <c r="E47" i="6"/>
  <c r="D47" i="6"/>
  <c r="C47" i="6"/>
  <c r="B47" i="6"/>
  <c r="X46" i="6"/>
  <c r="W46" i="6"/>
  <c r="V46" i="6"/>
  <c r="U46" i="6"/>
  <c r="P46" i="6"/>
  <c r="O46" i="6"/>
  <c r="N46" i="6"/>
  <c r="M46" i="6"/>
  <c r="K46" i="6"/>
  <c r="J46" i="6"/>
  <c r="I46" i="6"/>
  <c r="G46" i="6"/>
  <c r="F46" i="6"/>
  <c r="E46" i="6"/>
  <c r="D46" i="6"/>
  <c r="C46" i="6"/>
  <c r="B46" i="6"/>
  <c r="X45" i="6"/>
  <c r="W45" i="6"/>
  <c r="V45" i="6"/>
  <c r="U45" i="6"/>
  <c r="P45" i="6"/>
  <c r="O45" i="6"/>
  <c r="N45" i="6"/>
  <c r="M45" i="6"/>
  <c r="K45" i="6"/>
  <c r="J45" i="6"/>
  <c r="I45" i="6"/>
  <c r="G45" i="6"/>
  <c r="F45" i="6"/>
  <c r="E45" i="6"/>
  <c r="D45" i="6"/>
  <c r="C45" i="6"/>
  <c r="B45" i="6"/>
  <c r="Y43" i="6"/>
  <c r="X43" i="6"/>
  <c r="W43" i="6"/>
  <c r="V43" i="6"/>
  <c r="U43" i="6"/>
  <c r="Q43" i="6"/>
  <c r="P43" i="6"/>
  <c r="O43" i="6"/>
  <c r="N43" i="6"/>
  <c r="M43" i="6"/>
  <c r="K43" i="6"/>
  <c r="J43" i="6"/>
  <c r="I43" i="6"/>
  <c r="G43" i="6"/>
  <c r="F43" i="6"/>
  <c r="E43" i="6"/>
  <c r="D43" i="6"/>
  <c r="C43" i="6"/>
  <c r="B43" i="6"/>
  <c r="Y42" i="6"/>
  <c r="X42" i="6"/>
  <c r="W42" i="6"/>
  <c r="V42" i="6"/>
  <c r="U42" i="6"/>
  <c r="Q42" i="6"/>
  <c r="P42" i="6"/>
  <c r="O42" i="6"/>
  <c r="N42" i="6"/>
  <c r="M42" i="6"/>
  <c r="K42" i="6"/>
  <c r="J42" i="6"/>
  <c r="I42" i="6"/>
  <c r="G42" i="6"/>
  <c r="F42" i="6"/>
  <c r="E42" i="6"/>
  <c r="D42" i="6"/>
  <c r="C42" i="6"/>
  <c r="B42" i="6"/>
  <c r="Y41" i="6"/>
  <c r="X41" i="6"/>
  <c r="W41" i="6"/>
  <c r="V41" i="6"/>
  <c r="U41" i="6"/>
  <c r="Q41" i="6"/>
  <c r="P41" i="6"/>
  <c r="O41" i="6"/>
  <c r="N41" i="6"/>
  <c r="M41" i="6"/>
  <c r="K41" i="6"/>
  <c r="J41" i="6"/>
  <c r="I41" i="6"/>
  <c r="G41" i="6"/>
  <c r="F41" i="6"/>
  <c r="E41" i="6"/>
  <c r="D41" i="6"/>
  <c r="C41" i="6"/>
  <c r="B41" i="6"/>
  <c r="Y40" i="6"/>
  <c r="X40" i="6"/>
  <c r="W40" i="6"/>
  <c r="V40" i="6"/>
  <c r="U40" i="6"/>
  <c r="Q40" i="6"/>
  <c r="P40" i="6"/>
  <c r="O40" i="6"/>
  <c r="N40" i="6"/>
  <c r="M40" i="6"/>
  <c r="K40" i="6"/>
  <c r="J40" i="6"/>
  <c r="I40" i="6"/>
  <c r="G40" i="6"/>
  <c r="F40" i="6"/>
  <c r="E40" i="6"/>
  <c r="D40" i="6"/>
  <c r="C40" i="6"/>
  <c r="B40" i="6"/>
  <c r="Y39" i="6"/>
  <c r="X39" i="6"/>
  <c r="W39" i="6"/>
  <c r="V39" i="6"/>
  <c r="U39" i="6"/>
  <c r="Q39" i="6"/>
  <c r="P39" i="6"/>
  <c r="O39" i="6"/>
  <c r="N39" i="6"/>
  <c r="M39" i="6"/>
  <c r="K39" i="6"/>
  <c r="J39" i="6"/>
  <c r="I39" i="6"/>
  <c r="G39" i="6"/>
  <c r="F39" i="6"/>
  <c r="E39" i="6"/>
  <c r="D39" i="6"/>
  <c r="C39" i="6"/>
  <c r="B39" i="6"/>
  <c r="Y37" i="6"/>
  <c r="X37" i="6"/>
  <c r="W37" i="6"/>
  <c r="V37" i="6"/>
  <c r="U37" i="6"/>
  <c r="Q37" i="6"/>
  <c r="P37" i="6"/>
  <c r="O37" i="6"/>
  <c r="N37" i="6"/>
  <c r="M37" i="6"/>
  <c r="K37" i="6"/>
  <c r="J37" i="6"/>
  <c r="I37" i="6"/>
  <c r="G37" i="6"/>
  <c r="F37" i="6"/>
  <c r="E37" i="6"/>
  <c r="D37" i="6"/>
  <c r="C37" i="6"/>
  <c r="B37" i="6"/>
  <c r="Y36" i="6"/>
  <c r="X36" i="6"/>
  <c r="W36" i="6"/>
  <c r="V36" i="6"/>
  <c r="U36" i="6"/>
  <c r="Q36" i="6"/>
  <c r="P36" i="6"/>
  <c r="O36" i="6"/>
  <c r="N36" i="6"/>
  <c r="M36" i="6"/>
  <c r="K36" i="6"/>
  <c r="J36" i="6"/>
  <c r="I36" i="6"/>
  <c r="G36" i="6"/>
  <c r="F36" i="6"/>
  <c r="E36" i="6"/>
  <c r="D36" i="6"/>
  <c r="C36" i="6"/>
  <c r="B36" i="6"/>
  <c r="Y35" i="6"/>
  <c r="X35" i="6"/>
  <c r="W35" i="6"/>
  <c r="V35" i="6"/>
  <c r="U35" i="6"/>
  <c r="Q35" i="6"/>
  <c r="P35" i="6"/>
  <c r="O35" i="6"/>
  <c r="N35" i="6"/>
  <c r="M35" i="6"/>
  <c r="K35" i="6"/>
  <c r="J35" i="6"/>
  <c r="I35" i="6"/>
  <c r="G35" i="6"/>
  <c r="F35" i="6"/>
  <c r="E35" i="6"/>
  <c r="D35" i="6"/>
  <c r="C35" i="6"/>
  <c r="B35" i="6"/>
  <c r="Y34" i="6"/>
  <c r="X34" i="6"/>
  <c r="W34" i="6"/>
  <c r="V34" i="6"/>
  <c r="U34" i="6"/>
  <c r="Q34" i="6"/>
  <c r="P34" i="6"/>
  <c r="O34" i="6"/>
  <c r="N34" i="6"/>
  <c r="M34" i="6"/>
  <c r="K34" i="6"/>
  <c r="J34" i="6"/>
  <c r="I34" i="6"/>
  <c r="G34" i="6"/>
  <c r="F34" i="6"/>
  <c r="E34" i="6"/>
  <c r="D34" i="6"/>
  <c r="C34" i="6"/>
  <c r="B34" i="6"/>
  <c r="Y33" i="6"/>
  <c r="X33" i="6"/>
  <c r="W33" i="6"/>
  <c r="V33" i="6"/>
  <c r="U33" i="6"/>
  <c r="Q33" i="6"/>
  <c r="P33" i="6"/>
  <c r="O33" i="6"/>
  <c r="N33" i="6"/>
  <c r="M33" i="6"/>
  <c r="K33" i="6"/>
  <c r="J33" i="6"/>
  <c r="I33" i="6"/>
  <c r="G33" i="6"/>
  <c r="F33" i="6"/>
  <c r="E33" i="6"/>
  <c r="D33" i="6"/>
  <c r="C33" i="6"/>
  <c r="B33" i="6"/>
  <c r="Y32" i="6"/>
  <c r="X32" i="6"/>
  <c r="W32" i="6"/>
  <c r="V32" i="6"/>
  <c r="U32" i="6"/>
  <c r="Q32" i="6"/>
  <c r="P32" i="6"/>
  <c r="O32" i="6"/>
  <c r="N32" i="6"/>
  <c r="M32" i="6"/>
  <c r="K32" i="6"/>
  <c r="J32" i="6"/>
  <c r="I32" i="6"/>
  <c r="G32" i="6"/>
  <c r="F32" i="6"/>
  <c r="E32" i="6"/>
  <c r="D32" i="6"/>
  <c r="C32" i="6"/>
  <c r="B32" i="6"/>
  <c r="A32" i="6"/>
  <c r="Y30" i="6"/>
  <c r="X30" i="6"/>
  <c r="W30" i="6"/>
  <c r="V30" i="6"/>
  <c r="U30" i="6"/>
  <c r="Q30" i="6"/>
  <c r="P30" i="6"/>
  <c r="O30" i="6"/>
  <c r="N30" i="6"/>
  <c r="M30" i="6"/>
  <c r="K30" i="6"/>
  <c r="J30" i="6"/>
  <c r="I30" i="6"/>
  <c r="G30" i="6"/>
  <c r="F30" i="6"/>
  <c r="E30" i="6"/>
  <c r="D30" i="6"/>
  <c r="C30" i="6"/>
  <c r="B30" i="6"/>
  <c r="K29" i="6"/>
  <c r="K23" i="6"/>
  <c r="J23" i="6"/>
  <c r="K21" i="6"/>
  <c r="J21" i="6"/>
  <c r="K20" i="6"/>
  <c r="J20" i="6"/>
  <c r="K19" i="6"/>
  <c r="J19" i="6"/>
  <c r="K18" i="6"/>
  <c r="J18" i="6"/>
  <c r="K17" i="6"/>
  <c r="J17" i="6"/>
  <c r="K15" i="6"/>
  <c r="J15" i="6"/>
  <c r="K14" i="6"/>
  <c r="J14" i="6"/>
  <c r="K13" i="6"/>
  <c r="J13" i="6"/>
  <c r="K12" i="6"/>
  <c r="J12" i="6"/>
  <c r="K11" i="6"/>
  <c r="J11" i="6"/>
  <c r="K9" i="6"/>
  <c r="J9" i="6"/>
  <c r="K8" i="6"/>
  <c r="J8" i="6"/>
  <c r="K7" i="6"/>
  <c r="J7" i="6"/>
  <c r="K6" i="6"/>
  <c r="J6" i="6"/>
  <c r="K5" i="6"/>
  <c r="J5" i="6"/>
  <c r="K4" i="6"/>
  <c r="J4" i="6"/>
  <c r="K3" i="6"/>
  <c r="F27" i="40"/>
  <c r="E27" i="40"/>
  <c r="D27" i="40"/>
  <c r="C27" i="40"/>
  <c r="B27" i="40"/>
  <c r="F25" i="40"/>
  <c r="E25" i="40"/>
  <c r="D25" i="40"/>
  <c r="C25" i="40"/>
  <c r="B25" i="40"/>
  <c r="F24" i="40"/>
  <c r="E24" i="40"/>
  <c r="D24" i="40"/>
  <c r="C24" i="40"/>
  <c r="B24" i="40"/>
  <c r="F23" i="40"/>
  <c r="E23" i="40"/>
  <c r="D23" i="40"/>
  <c r="C23" i="40"/>
  <c r="B23" i="40"/>
  <c r="F22" i="40"/>
  <c r="E22" i="40"/>
  <c r="D22" i="40"/>
  <c r="C22" i="40"/>
  <c r="B22" i="40"/>
  <c r="F21" i="40"/>
  <c r="E21" i="40"/>
  <c r="D21" i="40"/>
  <c r="C21" i="40"/>
  <c r="B21" i="40"/>
  <c r="F18" i="40"/>
  <c r="E18" i="40"/>
  <c r="D18" i="40"/>
  <c r="C18" i="40"/>
  <c r="B18" i="40"/>
  <c r="F17" i="40"/>
  <c r="E17" i="40"/>
  <c r="D17" i="40"/>
  <c r="C17" i="40"/>
  <c r="B17" i="40"/>
  <c r="F16" i="40"/>
  <c r="E16" i="40"/>
  <c r="D16" i="40"/>
  <c r="C16" i="40"/>
  <c r="B16" i="40"/>
  <c r="E15" i="40"/>
  <c r="F14" i="40"/>
  <c r="F13" i="40"/>
  <c r="E13" i="40"/>
  <c r="D13" i="40"/>
  <c r="C13" i="40"/>
  <c r="B13" i="40"/>
  <c r="D12" i="40"/>
  <c r="C12" i="40"/>
  <c r="B12" i="40"/>
  <c r="F8" i="40"/>
  <c r="F7" i="40"/>
  <c r="C7" i="40"/>
  <c r="F6" i="40"/>
  <c r="C6" i="40"/>
  <c r="F5" i="40"/>
  <c r="F4" i="40"/>
  <c r="B4" i="40"/>
  <c r="G29" i="26"/>
  <c r="F29" i="26"/>
  <c r="E29" i="26"/>
  <c r="D29" i="26"/>
  <c r="C29" i="26"/>
  <c r="B29" i="26"/>
  <c r="G28" i="26"/>
  <c r="F28" i="26"/>
  <c r="E28" i="26"/>
  <c r="D28" i="26"/>
  <c r="C28" i="26"/>
  <c r="B28" i="26"/>
  <c r="G27" i="26"/>
  <c r="F27" i="26"/>
  <c r="E27" i="26"/>
  <c r="D27" i="26"/>
  <c r="C27" i="26"/>
  <c r="B27" i="26"/>
  <c r="G26" i="26"/>
  <c r="F26" i="26"/>
  <c r="E26" i="26"/>
  <c r="D26" i="26"/>
  <c r="C26" i="26"/>
  <c r="B26" i="26"/>
  <c r="G25" i="26"/>
  <c r="F25" i="26"/>
  <c r="E25" i="26"/>
  <c r="D25" i="26"/>
  <c r="C25" i="26"/>
  <c r="B25" i="26"/>
  <c r="G24" i="26"/>
  <c r="F24" i="26"/>
  <c r="E24" i="26"/>
  <c r="D24" i="26"/>
  <c r="C24" i="26"/>
  <c r="B24" i="26"/>
  <c r="G19" i="26"/>
  <c r="F19" i="26"/>
  <c r="E19" i="26"/>
  <c r="D19" i="26"/>
  <c r="C19" i="26"/>
  <c r="B19" i="26"/>
  <c r="G18" i="26"/>
  <c r="F18" i="26"/>
  <c r="E18" i="26"/>
  <c r="D18" i="26"/>
  <c r="C18" i="26"/>
  <c r="B18" i="26"/>
  <c r="G16" i="26"/>
  <c r="F16" i="26"/>
  <c r="E16" i="26"/>
  <c r="D16" i="26"/>
  <c r="C16" i="26"/>
  <c r="B16" i="26"/>
  <c r="F15" i="26"/>
  <c r="E15" i="26"/>
  <c r="D15" i="26"/>
  <c r="C15" i="26"/>
  <c r="B15" i="26"/>
  <c r="G14" i="26"/>
  <c r="F14" i="26"/>
  <c r="E14" i="26"/>
  <c r="D14" i="26"/>
  <c r="C14" i="26"/>
  <c r="B14" i="26"/>
  <c r="G13" i="26"/>
  <c r="F13" i="26"/>
  <c r="E13" i="26"/>
  <c r="D13" i="26"/>
  <c r="C13" i="26"/>
  <c r="B13" i="26"/>
  <c r="G12" i="26"/>
  <c r="F12" i="26"/>
  <c r="E12" i="26"/>
  <c r="D12" i="26"/>
  <c r="C12" i="26"/>
  <c r="S8" i="26"/>
  <c r="P8" i="26"/>
  <c r="O8" i="26"/>
  <c r="N8" i="26"/>
  <c r="M8" i="26"/>
  <c r="K8" i="26"/>
  <c r="J8" i="26"/>
  <c r="I8" i="26"/>
  <c r="F8" i="26"/>
  <c r="E8" i="26"/>
  <c r="D8" i="26"/>
  <c r="C8" i="26"/>
  <c r="B8" i="26"/>
  <c r="S7" i="26"/>
  <c r="Q7" i="26"/>
  <c r="P7" i="26"/>
  <c r="O7" i="26"/>
  <c r="N7" i="26"/>
  <c r="M7" i="26"/>
  <c r="K7" i="26"/>
  <c r="J7" i="26"/>
  <c r="G7" i="26"/>
  <c r="F7" i="26"/>
  <c r="E7" i="26"/>
  <c r="D7" i="26"/>
  <c r="C7" i="26"/>
  <c r="B7" i="26"/>
  <c r="Q6" i="26"/>
  <c r="P6" i="26"/>
  <c r="O6" i="26"/>
  <c r="N6" i="26"/>
  <c r="M6" i="26"/>
  <c r="K6" i="26"/>
  <c r="J6" i="26"/>
  <c r="I6" i="26"/>
  <c r="G6" i="26"/>
  <c r="F6" i="26"/>
  <c r="E6" i="26"/>
  <c r="D6" i="26"/>
  <c r="C6" i="26"/>
  <c r="B6" i="26"/>
  <c r="W5" i="26"/>
  <c r="V5" i="26"/>
  <c r="U5" i="26"/>
  <c r="T5" i="26"/>
  <c r="S5" i="26"/>
  <c r="Q5" i="26"/>
  <c r="P5" i="26"/>
  <c r="O5" i="26"/>
  <c r="N5" i="26"/>
  <c r="M5" i="26"/>
  <c r="K5" i="26"/>
  <c r="J5" i="26"/>
  <c r="G5" i="26"/>
  <c r="F5" i="26"/>
  <c r="E5" i="26"/>
  <c r="D5" i="26"/>
  <c r="C5" i="26"/>
  <c r="B5" i="26"/>
  <c r="S4" i="26"/>
  <c r="Q4" i="26"/>
  <c r="P4" i="26"/>
  <c r="O4" i="26"/>
  <c r="N4" i="26"/>
  <c r="M4" i="26"/>
  <c r="K4" i="26"/>
  <c r="J4" i="26"/>
  <c r="I4" i="26"/>
  <c r="G4" i="26"/>
  <c r="F4" i="26"/>
  <c r="E4" i="26"/>
  <c r="D4" i="26"/>
  <c r="C4" i="26"/>
  <c r="B4" i="26"/>
  <c r="K3" i="26"/>
  <c r="D182" i="35"/>
  <c r="C182" i="35"/>
  <c r="B182" i="35"/>
  <c r="A182" i="35"/>
  <c r="D181" i="35"/>
  <c r="C181" i="35"/>
  <c r="B181" i="35"/>
  <c r="A181" i="35"/>
  <c r="B180" i="35"/>
  <c r="A180" i="35"/>
  <c r="B179" i="35"/>
  <c r="A179" i="35"/>
  <c r="B178" i="35"/>
  <c r="A178" i="35"/>
  <c r="D177" i="35"/>
  <c r="C177" i="35"/>
  <c r="B177" i="35"/>
  <c r="A177" i="35"/>
  <c r="D176" i="35"/>
  <c r="C176" i="35"/>
  <c r="B176" i="35"/>
  <c r="A176" i="35"/>
  <c r="I175" i="35"/>
  <c r="D175" i="35"/>
  <c r="C175" i="35"/>
  <c r="B175" i="35"/>
  <c r="A175" i="35"/>
  <c r="I174" i="35"/>
  <c r="D174" i="35"/>
  <c r="C174" i="35"/>
  <c r="B174" i="35"/>
  <c r="A174" i="35"/>
  <c r="I173" i="35"/>
  <c r="B173" i="35"/>
  <c r="A173" i="35"/>
  <c r="I172" i="35"/>
  <c r="D172" i="35"/>
  <c r="C172" i="35"/>
  <c r="B172" i="35"/>
  <c r="A172" i="35"/>
  <c r="I171" i="35"/>
  <c r="D171" i="35"/>
  <c r="C171" i="35"/>
  <c r="B171" i="35"/>
  <c r="A171" i="35"/>
  <c r="I170" i="35"/>
  <c r="B170" i="35"/>
  <c r="A170" i="35"/>
  <c r="Q169" i="35"/>
  <c r="I169" i="35"/>
  <c r="B169" i="35"/>
  <c r="A169" i="35"/>
  <c r="Q168" i="35"/>
  <c r="I168" i="35"/>
  <c r="D168" i="35"/>
  <c r="C168" i="35"/>
  <c r="B168" i="35"/>
  <c r="A168" i="35"/>
  <c r="Q167" i="35"/>
  <c r="O167" i="35"/>
  <c r="K167" i="35"/>
  <c r="I167" i="35"/>
  <c r="D167" i="35"/>
  <c r="C167" i="35"/>
  <c r="B167" i="35"/>
  <c r="A167" i="35"/>
  <c r="Q166" i="35"/>
  <c r="O166" i="35"/>
  <c r="K166" i="35"/>
  <c r="I166" i="35"/>
  <c r="B166" i="35"/>
  <c r="A166" i="35"/>
  <c r="Q165" i="35"/>
  <c r="O165" i="35"/>
  <c r="M165" i="35"/>
  <c r="K165" i="35"/>
  <c r="I165" i="35"/>
  <c r="B165" i="35"/>
  <c r="A165" i="35"/>
  <c r="Q164" i="35"/>
  <c r="O164" i="35"/>
  <c r="M164" i="35"/>
  <c r="K164" i="35"/>
  <c r="I164" i="35"/>
  <c r="B164" i="35"/>
  <c r="A164" i="35"/>
  <c r="Q163" i="35"/>
  <c r="O163" i="35"/>
  <c r="M163" i="35"/>
  <c r="K163" i="35"/>
  <c r="I163" i="35"/>
  <c r="D163" i="35"/>
  <c r="C163" i="35"/>
  <c r="B163" i="35"/>
  <c r="A163" i="35"/>
  <c r="D162" i="35"/>
  <c r="C162" i="35"/>
  <c r="B162" i="35"/>
  <c r="A162" i="35"/>
  <c r="C161" i="35"/>
  <c r="B161" i="35"/>
  <c r="A161" i="35"/>
  <c r="B160" i="35"/>
  <c r="A160" i="35"/>
  <c r="A159" i="35"/>
  <c r="M158" i="35"/>
  <c r="B158" i="35"/>
  <c r="A158" i="35"/>
  <c r="M157" i="35"/>
  <c r="D157" i="35"/>
  <c r="C157" i="35"/>
  <c r="B157" i="35"/>
  <c r="A157" i="35"/>
  <c r="O156" i="35"/>
  <c r="M156" i="35"/>
  <c r="C156" i="35"/>
  <c r="B156" i="35"/>
  <c r="A156" i="35"/>
  <c r="O155" i="35"/>
  <c r="M155" i="35"/>
  <c r="B155" i="35"/>
  <c r="A155" i="35"/>
  <c r="Q154" i="35"/>
  <c r="O154" i="35"/>
  <c r="M154" i="35"/>
  <c r="K154" i="35"/>
  <c r="I154" i="35"/>
  <c r="D154" i="35"/>
  <c r="C154" i="35"/>
  <c r="B154" i="35"/>
  <c r="A154" i="35"/>
  <c r="Q153" i="35"/>
  <c r="O153" i="35"/>
  <c r="M153" i="35"/>
  <c r="K153" i="35"/>
  <c r="I153" i="35"/>
  <c r="B153" i="35"/>
  <c r="Q152" i="35"/>
  <c r="O152" i="35"/>
  <c r="M152" i="35"/>
  <c r="K152" i="35"/>
  <c r="I152" i="35"/>
  <c r="D152" i="35"/>
  <c r="C152" i="35"/>
  <c r="B152" i="35"/>
  <c r="A152" i="35"/>
  <c r="Q151" i="35"/>
  <c r="O151" i="35"/>
  <c r="M151" i="35"/>
  <c r="K151" i="35"/>
  <c r="I151" i="35"/>
  <c r="D151" i="35"/>
  <c r="C151" i="35"/>
  <c r="B151" i="35"/>
  <c r="A151" i="35"/>
  <c r="Q150" i="35"/>
  <c r="O150" i="35"/>
  <c r="M150" i="35"/>
  <c r="K150" i="35"/>
  <c r="I150" i="35"/>
  <c r="C143" i="35"/>
  <c r="B143" i="35"/>
  <c r="C141" i="35"/>
  <c r="C140" i="35"/>
  <c r="F139" i="35"/>
  <c r="B139" i="35"/>
  <c r="B136" i="35"/>
  <c r="C135" i="35"/>
  <c r="C134" i="35"/>
  <c r="B133" i="35"/>
  <c r="C132" i="35"/>
  <c r="C131" i="35"/>
  <c r="F130" i="35"/>
  <c r="C130" i="35"/>
  <c r="C127" i="35"/>
  <c r="B126" i="35"/>
  <c r="C125" i="35"/>
  <c r="F124" i="35"/>
  <c r="B124" i="35"/>
  <c r="C123" i="35"/>
  <c r="F118" i="35"/>
  <c r="B118" i="35"/>
  <c r="C117" i="35"/>
  <c r="C116" i="35"/>
  <c r="B115" i="35"/>
  <c r="B114" i="35"/>
  <c r="J113" i="35"/>
  <c r="I113" i="35"/>
  <c r="B113" i="35"/>
  <c r="B112" i="35"/>
  <c r="J111" i="35"/>
  <c r="C111" i="35"/>
  <c r="J110" i="35"/>
  <c r="J109" i="35"/>
  <c r="F109" i="35"/>
  <c r="I108" i="35"/>
  <c r="B108" i="35"/>
  <c r="I107" i="35"/>
  <c r="B107" i="35"/>
  <c r="B106" i="35"/>
  <c r="J105" i="35"/>
  <c r="C105" i="35"/>
  <c r="J104" i="35"/>
  <c r="B104" i="35"/>
  <c r="J103" i="35"/>
  <c r="C103" i="35"/>
  <c r="I102" i="35"/>
  <c r="F100" i="35"/>
  <c r="C100" i="35"/>
  <c r="C99" i="35"/>
  <c r="C98" i="35"/>
  <c r="B97" i="35"/>
  <c r="E89" i="35"/>
  <c r="D89" i="35"/>
  <c r="C89" i="35"/>
  <c r="B89" i="35"/>
  <c r="E87" i="35"/>
  <c r="D87" i="35"/>
  <c r="E86" i="35"/>
  <c r="D86" i="35"/>
  <c r="E85" i="35"/>
  <c r="D85" i="35"/>
  <c r="E84" i="35"/>
  <c r="D84" i="35"/>
  <c r="E83" i="35"/>
  <c r="D83" i="35"/>
  <c r="E82" i="35"/>
  <c r="D82" i="35"/>
  <c r="E81" i="35"/>
  <c r="D81" i="35"/>
  <c r="D80" i="35"/>
  <c r="E79" i="35"/>
  <c r="D79" i="35"/>
  <c r="E78" i="35"/>
  <c r="D78" i="35"/>
  <c r="J77" i="35"/>
  <c r="I77" i="35"/>
  <c r="H77" i="35"/>
  <c r="E76" i="35"/>
  <c r="D76" i="35"/>
  <c r="J75" i="35"/>
  <c r="I75" i="35"/>
  <c r="H75" i="35"/>
  <c r="E75" i="35"/>
  <c r="D75" i="35"/>
  <c r="C75" i="35"/>
  <c r="B75" i="35"/>
  <c r="E74" i="35"/>
  <c r="D74" i="35"/>
  <c r="E73" i="35"/>
  <c r="D73" i="35"/>
  <c r="D72" i="35"/>
  <c r="E71" i="35"/>
  <c r="D71" i="35"/>
  <c r="E70" i="35"/>
  <c r="D70" i="35"/>
  <c r="E69" i="35"/>
  <c r="D69" i="35"/>
  <c r="D68" i="35"/>
  <c r="D67" i="35"/>
  <c r="D66" i="35"/>
  <c r="E65" i="35"/>
  <c r="D65" i="35"/>
  <c r="E64" i="35"/>
  <c r="D64" i="35"/>
  <c r="E63" i="35"/>
  <c r="D63" i="35"/>
  <c r="E62" i="35"/>
  <c r="D62" i="35"/>
  <c r="E61" i="35"/>
  <c r="D61" i="35"/>
  <c r="D60" i="35"/>
  <c r="E59" i="35"/>
  <c r="D59" i="35"/>
  <c r="D58" i="35"/>
  <c r="E57" i="35"/>
  <c r="D57" i="35"/>
  <c r="E56" i="35"/>
  <c r="D56" i="35"/>
  <c r="E55" i="35"/>
  <c r="D55" i="35"/>
  <c r="D54" i="35"/>
  <c r="E52" i="35"/>
  <c r="D52" i="35"/>
  <c r="E51" i="35"/>
  <c r="D51" i="35"/>
  <c r="D50" i="35"/>
  <c r="D49" i="35"/>
  <c r="E48" i="35"/>
  <c r="D48" i="35"/>
  <c r="E47" i="35"/>
  <c r="D47" i="35"/>
  <c r="E46" i="35"/>
  <c r="D46" i="35"/>
  <c r="E45" i="35"/>
  <c r="D45" i="35"/>
  <c r="E43" i="35"/>
  <c r="D43" i="35"/>
  <c r="E42" i="35"/>
  <c r="D42" i="35"/>
  <c r="C42" i="35"/>
  <c r="B42" i="35"/>
  <c r="E41" i="35"/>
  <c r="D41" i="35"/>
  <c r="E40" i="35"/>
  <c r="D40" i="35"/>
  <c r="D39" i="35"/>
  <c r="D38" i="35"/>
  <c r="E37" i="35"/>
  <c r="D37" i="35"/>
  <c r="E36" i="35"/>
  <c r="D36" i="35"/>
  <c r="E35" i="35"/>
  <c r="D35" i="35"/>
  <c r="D34" i="35"/>
  <c r="D33" i="35"/>
  <c r="E32" i="35"/>
  <c r="D32" i="35"/>
  <c r="E31" i="35"/>
  <c r="D31" i="35"/>
  <c r="E30" i="35"/>
  <c r="D30" i="35"/>
  <c r="E29" i="35"/>
  <c r="D29" i="35"/>
  <c r="E28" i="35"/>
  <c r="D28" i="35"/>
  <c r="E27" i="35"/>
  <c r="D27" i="35"/>
  <c r="E26" i="35"/>
  <c r="D26" i="35"/>
  <c r="E25" i="35"/>
  <c r="D25" i="35"/>
  <c r="E24" i="35"/>
  <c r="D24" i="35"/>
  <c r="E23" i="35"/>
  <c r="D23" i="35"/>
  <c r="E22" i="35"/>
  <c r="D22" i="35"/>
  <c r="E21" i="35"/>
  <c r="D21" i="35"/>
  <c r="E20" i="35"/>
  <c r="D20" i="35"/>
  <c r="D19" i="35"/>
  <c r="E17" i="35"/>
  <c r="D17" i="35"/>
  <c r="E16" i="35"/>
  <c r="D16" i="35"/>
  <c r="E15" i="35"/>
  <c r="D15" i="35"/>
  <c r="E14" i="35"/>
  <c r="D14" i="35"/>
  <c r="B14" i="35"/>
  <c r="E13" i="35"/>
  <c r="D13" i="35"/>
  <c r="E12" i="35"/>
  <c r="D12" i="35"/>
  <c r="E11" i="35"/>
  <c r="D11" i="35"/>
  <c r="E10" i="35"/>
  <c r="D10" i="35"/>
  <c r="E9" i="35"/>
  <c r="D9" i="35"/>
  <c r="E8" i="35"/>
  <c r="D8" i="35"/>
  <c r="D7" i="35"/>
  <c r="E6" i="35"/>
  <c r="D6" i="35"/>
  <c r="O63" i="4"/>
  <c r="N63" i="4"/>
  <c r="M63" i="4"/>
  <c r="L63" i="4"/>
  <c r="O62" i="4"/>
  <c r="N62" i="4"/>
  <c r="M62" i="4"/>
  <c r="L62" i="4"/>
  <c r="O56" i="4"/>
  <c r="N56" i="4"/>
  <c r="M56" i="4"/>
  <c r="L56" i="4"/>
  <c r="O44" i="4"/>
  <c r="N44" i="4"/>
  <c r="M44" i="4"/>
  <c r="L44" i="4"/>
  <c r="G37" i="4"/>
  <c r="F37" i="4"/>
  <c r="O20" i="4"/>
  <c r="N20" i="4"/>
  <c r="M20" i="4"/>
  <c r="L20" i="4"/>
  <c r="J20" i="4"/>
  <c r="I20" i="4"/>
  <c r="O19" i="4"/>
  <c r="N19" i="4"/>
  <c r="M19" i="4"/>
  <c r="L19" i="4"/>
  <c r="J19" i="4"/>
  <c r="I19" i="4"/>
  <c r="X100" i="2"/>
  <c r="W100" i="2"/>
  <c r="V100" i="2"/>
  <c r="U100" i="2"/>
  <c r="T100" i="2"/>
  <c r="Q100" i="2"/>
  <c r="P100" i="2"/>
  <c r="O100" i="2"/>
  <c r="N100" i="2"/>
  <c r="M100" i="2"/>
  <c r="K100" i="2"/>
  <c r="J100" i="2"/>
  <c r="I100" i="2"/>
  <c r="G100" i="2"/>
  <c r="F100" i="2"/>
  <c r="E100" i="2"/>
  <c r="D100" i="2"/>
  <c r="C100" i="2"/>
  <c r="B100" i="2"/>
  <c r="X96" i="2"/>
  <c r="W96" i="2"/>
  <c r="V96" i="2"/>
  <c r="U96" i="2"/>
  <c r="T96" i="2"/>
  <c r="Q96" i="2"/>
  <c r="P96" i="2"/>
  <c r="O96" i="2"/>
  <c r="N96" i="2"/>
  <c r="M96" i="2"/>
  <c r="K96" i="2"/>
  <c r="J96" i="2"/>
  <c r="I96" i="2"/>
  <c r="X95" i="2"/>
  <c r="W95" i="2"/>
  <c r="V95" i="2"/>
  <c r="U95" i="2"/>
  <c r="T95" i="2"/>
  <c r="Q95" i="2"/>
  <c r="P95" i="2"/>
  <c r="O95" i="2"/>
  <c r="N95" i="2"/>
  <c r="M95" i="2"/>
  <c r="K95" i="2"/>
  <c r="J95" i="2"/>
  <c r="X92" i="2"/>
  <c r="W92" i="2"/>
  <c r="V92" i="2"/>
  <c r="U92" i="2"/>
  <c r="T92" i="2"/>
  <c r="Q92" i="2"/>
  <c r="P92" i="2"/>
  <c r="O92" i="2"/>
  <c r="N92" i="2"/>
  <c r="M92" i="2"/>
  <c r="K92" i="2"/>
  <c r="J92" i="2"/>
  <c r="X90" i="2"/>
  <c r="W90" i="2"/>
  <c r="V90" i="2"/>
  <c r="U90" i="2"/>
  <c r="T90" i="2"/>
  <c r="Q90" i="2"/>
  <c r="P90" i="2"/>
  <c r="O90" i="2"/>
  <c r="N90" i="2"/>
  <c r="M90" i="2"/>
  <c r="K90" i="2"/>
  <c r="J90" i="2"/>
  <c r="I90" i="2"/>
  <c r="X86" i="2"/>
  <c r="W86" i="2"/>
  <c r="V86" i="2"/>
  <c r="U86" i="2"/>
  <c r="T86" i="2"/>
  <c r="Q86" i="2"/>
  <c r="P86" i="2"/>
  <c r="O86" i="2"/>
  <c r="N86" i="2"/>
  <c r="M86" i="2"/>
  <c r="K86" i="2"/>
  <c r="J86" i="2"/>
  <c r="I86" i="2"/>
  <c r="G86" i="2"/>
  <c r="F86" i="2"/>
  <c r="E86" i="2"/>
  <c r="D86" i="2"/>
  <c r="C86" i="2"/>
  <c r="B86" i="2"/>
  <c r="W85" i="2"/>
  <c r="V85" i="2"/>
  <c r="U85" i="2"/>
  <c r="T85" i="2"/>
  <c r="P85" i="2"/>
  <c r="O85" i="2"/>
  <c r="N85" i="2"/>
  <c r="M85" i="2"/>
  <c r="K85" i="2"/>
  <c r="J85" i="2"/>
  <c r="I85" i="2"/>
  <c r="W84" i="2"/>
  <c r="V84" i="2"/>
  <c r="U84" i="2"/>
  <c r="T84" i="2"/>
  <c r="P84" i="2"/>
  <c r="O84" i="2"/>
  <c r="N84" i="2"/>
  <c r="M84" i="2"/>
  <c r="K84" i="2"/>
  <c r="J84" i="2"/>
  <c r="I84" i="2"/>
  <c r="W82" i="2"/>
  <c r="V82" i="2"/>
  <c r="U82" i="2"/>
  <c r="T82" i="2"/>
  <c r="P82" i="2"/>
  <c r="O82" i="2"/>
  <c r="N82" i="2"/>
  <c r="M82" i="2"/>
  <c r="K82" i="2"/>
  <c r="J82" i="2"/>
  <c r="I82" i="2"/>
  <c r="W81" i="2"/>
  <c r="V81" i="2"/>
  <c r="U81" i="2"/>
  <c r="T81" i="2"/>
  <c r="P81" i="2"/>
  <c r="O81" i="2"/>
  <c r="N81" i="2"/>
  <c r="M81" i="2"/>
  <c r="K81" i="2"/>
  <c r="J81" i="2"/>
  <c r="I81" i="2"/>
  <c r="W80" i="2"/>
  <c r="V80" i="2"/>
  <c r="U80" i="2"/>
  <c r="T80" i="2"/>
  <c r="P80" i="2"/>
  <c r="O80" i="2"/>
  <c r="N80" i="2"/>
  <c r="M80" i="2"/>
  <c r="K80" i="2"/>
  <c r="J80" i="2"/>
  <c r="I80" i="2"/>
  <c r="X76" i="2"/>
  <c r="W76" i="2"/>
  <c r="V76" i="2"/>
  <c r="U76" i="2"/>
  <c r="T76" i="2"/>
  <c r="P76" i="2"/>
  <c r="O76" i="2"/>
  <c r="N76" i="2"/>
  <c r="M76" i="2"/>
  <c r="K76" i="2"/>
  <c r="J76" i="2"/>
  <c r="I76" i="2"/>
  <c r="X74" i="2"/>
  <c r="W74" i="2"/>
  <c r="V74" i="2"/>
  <c r="U74" i="2"/>
  <c r="T74" i="2"/>
  <c r="P74" i="2"/>
  <c r="O74" i="2"/>
  <c r="N74" i="2"/>
  <c r="M74" i="2"/>
  <c r="K74" i="2"/>
  <c r="J74" i="2"/>
  <c r="I74" i="2"/>
  <c r="X72" i="2"/>
  <c r="W72" i="2"/>
  <c r="V72" i="2"/>
  <c r="U72" i="2"/>
  <c r="T72" i="2"/>
  <c r="P72" i="2"/>
  <c r="O72" i="2"/>
  <c r="N72" i="2"/>
  <c r="M72" i="2"/>
  <c r="K72" i="2"/>
  <c r="J72" i="2"/>
  <c r="I72" i="2"/>
  <c r="X68" i="2"/>
  <c r="W68" i="2"/>
  <c r="V68" i="2"/>
  <c r="U68" i="2"/>
  <c r="T68" i="2"/>
  <c r="P68" i="2"/>
  <c r="O68" i="2"/>
  <c r="N68" i="2"/>
  <c r="M68" i="2"/>
  <c r="K68" i="2"/>
  <c r="J68" i="2"/>
  <c r="I68" i="2"/>
  <c r="X67" i="2"/>
  <c r="W67" i="2"/>
  <c r="V67" i="2"/>
  <c r="U67" i="2"/>
  <c r="T67" i="2"/>
  <c r="P67" i="2"/>
  <c r="O67" i="2"/>
  <c r="N67" i="2"/>
  <c r="M67" i="2"/>
  <c r="K67" i="2"/>
  <c r="J67" i="2"/>
  <c r="I67" i="2"/>
  <c r="X66" i="2"/>
  <c r="W66" i="2"/>
  <c r="V66" i="2"/>
  <c r="U66" i="2"/>
  <c r="T66" i="2"/>
  <c r="P66" i="2"/>
  <c r="O66" i="2"/>
  <c r="N66" i="2"/>
  <c r="M66" i="2"/>
  <c r="K66" i="2"/>
  <c r="J66" i="2"/>
  <c r="I66" i="2"/>
  <c r="X63" i="2"/>
  <c r="W63" i="2"/>
  <c r="V63" i="2"/>
  <c r="U63" i="2"/>
  <c r="T63" i="2"/>
  <c r="Q63" i="2"/>
  <c r="P63" i="2"/>
  <c r="O63" i="2"/>
  <c r="N63" i="2"/>
  <c r="M63" i="2"/>
  <c r="K63" i="2"/>
  <c r="J63" i="2"/>
  <c r="I63" i="2"/>
  <c r="G63" i="2"/>
  <c r="X62" i="2"/>
  <c r="W62" i="2"/>
  <c r="V62" i="2"/>
  <c r="U62" i="2"/>
  <c r="T62" i="2"/>
  <c r="Q62" i="2"/>
  <c r="P62" i="2"/>
  <c r="O62" i="2"/>
  <c r="N62" i="2"/>
  <c r="M62" i="2"/>
  <c r="K62" i="2"/>
  <c r="J62" i="2"/>
  <c r="I62" i="2"/>
  <c r="X59" i="2"/>
  <c r="W59" i="2"/>
  <c r="V59" i="2"/>
  <c r="U59" i="2"/>
  <c r="T59" i="2"/>
  <c r="Q59" i="2"/>
  <c r="P59" i="2"/>
  <c r="O59" i="2"/>
  <c r="N59" i="2"/>
  <c r="M59" i="2"/>
  <c r="K59" i="2"/>
  <c r="J59" i="2"/>
  <c r="I59" i="2"/>
  <c r="X58" i="2"/>
  <c r="W58" i="2"/>
  <c r="V58" i="2"/>
  <c r="U58" i="2"/>
  <c r="T58" i="2"/>
  <c r="Q58" i="2"/>
  <c r="P58" i="2"/>
  <c r="O58" i="2"/>
  <c r="N58" i="2"/>
  <c r="M58" i="2"/>
  <c r="K58" i="2"/>
  <c r="J58" i="2"/>
  <c r="I58" i="2"/>
  <c r="X57" i="2"/>
  <c r="W57" i="2"/>
  <c r="V57" i="2"/>
  <c r="U57" i="2"/>
  <c r="T57" i="2"/>
  <c r="Q57" i="2"/>
  <c r="P57" i="2"/>
  <c r="O57" i="2"/>
  <c r="N57" i="2"/>
  <c r="M57" i="2"/>
  <c r="K57" i="2"/>
  <c r="J57" i="2"/>
  <c r="I57" i="2"/>
  <c r="X56" i="2"/>
  <c r="W56" i="2"/>
  <c r="V56" i="2"/>
  <c r="U56" i="2"/>
  <c r="T56" i="2"/>
  <c r="Q56" i="2"/>
  <c r="P56" i="2"/>
  <c r="O56" i="2"/>
  <c r="N56" i="2"/>
  <c r="M56" i="2"/>
  <c r="K56" i="2"/>
  <c r="J56" i="2"/>
  <c r="I56" i="2"/>
  <c r="X54" i="2"/>
  <c r="W54" i="2"/>
  <c r="V54" i="2"/>
  <c r="U54" i="2"/>
  <c r="T54" i="2"/>
  <c r="Q54" i="2"/>
  <c r="P54" i="2"/>
  <c r="O54" i="2"/>
  <c r="N54" i="2"/>
  <c r="M54" i="2"/>
  <c r="K54" i="2"/>
  <c r="J54" i="2"/>
  <c r="I54" i="2"/>
  <c r="X53" i="2"/>
  <c r="W53" i="2"/>
  <c r="V53" i="2"/>
  <c r="U53" i="2"/>
  <c r="T53" i="2"/>
  <c r="Q53" i="2"/>
  <c r="P53" i="2"/>
  <c r="O53" i="2"/>
  <c r="N53" i="2"/>
  <c r="M53" i="2"/>
  <c r="K53" i="2"/>
  <c r="J53" i="2"/>
  <c r="I53" i="2"/>
  <c r="G53" i="2"/>
  <c r="F53" i="2"/>
  <c r="E53" i="2"/>
  <c r="D53" i="2"/>
  <c r="C53" i="2"/>
  <c r="B53" i="2"/>
  <c r="X52" i="2"/>
  <c r="W52" i="2"/>
  <c r="V52" i="2"/>
  <c r="U52" i="2"/>
  <c r="T52" i="2"/>
  <c r="Q52" i="2"/>
  <c r="P52" i="2"/>
  <c r="O52" i="2"/>
  <c r="N52" i="2"/>
  <c r="K52" i="2"/>
  <c r="J52" i="2"/>
  <c r="X51" i="2"/>
  <c r="W51" i="2"/>
  <c r="V51" i="2"/>
  <c r="U51" i="2"/>
  <c r="T51" i="2"/>
  <c r="Q51" i="2"/>
  <c r="P51" i="2"/>
  <c r="O51" i="2"/>
  <c r="N51" i="2"/>
  <c r="M51" i="2"/>
  <c r="K51" i="2"/>
  <c r="J51" i="2"/>
  <c r="I51" i="2"/>
  <c r="X47" i="2"/>
  <c r="W47" i="2"/>
  <c r="V47" i="2"/>
  <c r="U47" i="2"/>
  <c r="T47" i="2"/>
  <c r="P47" i="2"/>
  <c r="O47" i="2"/>
  <c r="N47" i="2"/>
  <c r="M47" i="2"/>
  <c r="K47" i="2"/>
  <c r="J47" i="2"/>
  <c r="I47" i="2"/>
  <c r="X46" i="2"/>
  <c r="W46" i="2"/>
  <c r="V46" i="2"/>
  <c r="U46" i="2"/>
  <c r="T46" i="2"/>
  <c r="Q46" i="2"/>
  <c r="P46" i="2"/>
  <c r="O46" i="2"/>
  <c r="N46" i="2"/>
  <c r="M46" i="2"/>
  <c r="K46" i="2"/>
  <c r="J46" i="2"/>
  <c r="I46" i="2"/>
  <c r="X44" i="2"/>
  <c r="W44" i="2"/>
  <c r="V44" i="2"/>
  <c r="U44" i="2"/>
  <c r="T44" i="2"/>
  <c r="Q44" i="2"/>
  <c r="P44" i="2"/>
  <c r="O44" i="2"/>
  <c r="N44" i="2"/>
  <c r="M44" i="2"/>
  <c r="K44" i="2"/>
  <c r="J44" i="2"/>
  <c r="I44" i="2"/>
  <c r="X43" i="2"/>
  <c r="W43" i="2"/>
  <c r="V43" i="2"/>
  <c r="U43" i="2"/>
  <c r="T43" i="2"/>
  <c r="P43" i="2"/>
  <c r="O43" i="2"/>
  <c r="N43" i="2"/>
  <c r="M43" i="2"/>
  <c r="K43" i="2"/>
  <c r="J43" i="2"/>
  <c r="I43" i="2"/>
  <c r="X42" i="2"/>
  <c r="W42" i="2"/>
  <c r="V42" i="2"/>
  <c r="U42" i="2"/>
  <c r="T42" i="2"/>
  <c r="Q42" i="2"/>
  <c r="P42" i="2"/>
  <c r="O42" i="2"/>
  <c r="N42" i="2"/>
  <c r="M42" i="2"/>
  <c r="K42" i="2"/>
  <c r="J42" i="2"/>
  <c r="I42" i="2"/>
  <c r="X41" i="2"/>
  <c r="W41" i="2"/>
  <c r="V41" i="2"/>
  <c r="U41" i="2"/>
  <c r="T41" i="2"/>
  <c r="Q41" i="2"/>
  <c r="P41" i="2"/>
  <c r="O41" i="2"/>
  <c r="N41" i="2"/>
  <c r="M41" i="2"/>
  <c r="K41" i="2"/>
  <c r="J41" i="2"/>
  <c r="I41" i="2"/>
  <c r="X31" i="2"/>
  <c r="W31" i="2"/>
  <c r="V31" i="2"/>
  <c r="U31" i="2"/>
  <c r="T31" i="2"/>
  <c r="Q31" i="2"/>
  <c r="P31" i="2"/>
  <c r="O31" i="2"/>
  <c r="N31" i="2"/>
  <c r="M31" i="2"/>
  <c r="K31" i="2"/>
  <c r="J31" i="2"/>
  <c r="I31" i="2"/>
  <c r="X28" i="2"/>
  <c r="W28" i="2"/>
  <c r="V28" i="2"/>
  <c r="U28" i="2"/>
  <c r="T28" i="2"/>
  <c r="Q28" i="2"/>
  <c r="P28" i="2"/>
  <c r="O28" i="2"/>
  <c r="N28" i="2"/>
  <c r="M28" i="2"/>
  <c r="K28" i="2"/>
  <c r="J28" i="2"/>
  <c r="I28" i="2"/>
  <c r="G28" i="2"/>
  <c r="X27" i="2"/>
  <c r="W27" i="2"/>
  <c r="V27" i="2"/>
  <c r="U27" i="2"/>
  <c r="T27" i="2"/>
  <c r="P27" i="2"/>
  <c r="O27" i="2"/>
  <c r="N27" i="2"/>
  <c r="M27" i="2"/>
  <c r="K27" i="2"/>
  <c r="J27" i="2"/>
  <c r="I27" i="2"/>
  <c r="B27" i="2"/>
  <c r="C24" i="2"/>
  <c r="X22" i="2"/>
  <c r="W22" i="2"/>
  <c r="V22" i="2"/>
  <c r="U22" i="2"/>
  <c r="T22" i="2"/>
  <c r="P22" i="2"/>
  <c r="O22" i="2"/>
  <c r="N22" i="2"/>
  <c r="M22" i="2"/>
  <c r="K22" i="2"/>
  <c r="J22" i="2"/>
  <c r="X21" i="2"/>
  <c r="W21" i="2"/>
  <c r="V21" i="2"/>
  <c r="U21" i="2"/>
  <c r="T21" i="2"/>
  <c r="Q21" i="2"/>
  <c r="P21" i="2"/>
  <c r="O21" i="2"/>
  <c r="N21" i="2"/>
  <c r="M21" i="2"/>
  <c r="K21" i="2"/>
  <c r="J21" i="2"/>
  <c r="I21" i="2"/>
  <c r="B21" i="2"/>
  <c r="X16" i="2"/>
  <c r="W16" i="2"/>
  <c r="V16" i="2"/>
  <c r="U16" i="2"/>
  <c r="T16" i="2"/>
  <c r="Q16" i="2"/>
  <c r="P16" i="2"/>
  <c r="O16" i="2"/>
  <c r="N16" i="2"/>
  <c r="M16" i="2"/>
  <c r="K16" i="2"/>
  <c r="J16" i="2"/>
  <c r="I16" i="2"/>
  <c r="K15" i="2"/>
  <c r="C26" i="3"/>
  <c r="D24" i="3"/>
  <c r="C22" i="3"/>
  <c r="G88" i="1"/>
  <c r="F88" i="1"/>
  <c r="E88" i="1"/>
  <c r="D88" i="1"/>
  <c r="C88" i="1"/>
  <c r="B88" i="1"/>
  <c r="G87" i="1"/>
  <c r="F87" i="1"/>
  <c r="E87" i="1"/>
  <c r="D87" i="1"/>
  <c r="C87" i="1"/>
  <c r="B87" i="1"/>
  <c r="P64" i="1"/>
  <c r="O64" i="1"/>
  <c r="N64" i="1"/>
  <c r="M64" i="1"/>
  <c r="L64" i="1"/>
  <c r="J64" i="1"/>
  <c r="I64" i="1"/>
  <c r="P62" i="1"/>
  <c r="O62" i="1"/>
  <c r="N62" i="1"/>
  <c r="M62" i="1"/>
  <c r="L62" i="1"/>
  <c r="J62" i="1"/>
  <c r="I62" i="1"/>
  <c r="P60" i="1"/>
  <c r="O60" i="1"/>
  <c r="N60" i="1"/>
  <c r="M60" i="1"/>
  <c r="L60" i="1"/>
  <c r="J60" i="1"/>
  <c r="I60" i="1"/>
  <c r="P50" i="1"/>
  <c r="O50" i="1"/>
  <c r="N50" i="1"/>
  <c r="M50" i="1"/>
  <c r="L50" i="1"/>
  <c r="P49" i="1"/>
  <c r="O49" i="1"/>
  <c r="N49" i="1"/>
  <c r="M49" i="1"/>
  <c r="L49" i="1"/>
  <c r="J49" i="1"/>
  <c r="I49" i="1"/>
  <c r="P48" i="1"/>
  <c r="O48" i="1"/>
  <c r="N48" i="1"/>
  <c r="M48" i="1"/>
  <c r="L48" i="1"/>
  <c r="J48" i="1"/>
  <c r="I48" i="1"/>
  <c r="P46" i="1"/>
  <c r="O46" i="1"/>
  <c r="N46" i="1"/>
  <c r="M46" i="1"/>
  <c r="L46" i="1"/>
  <c r="J46" i="1"/>
  <c r="I46" i="1"/>
  <c r="G46" i="1"/>
  <c r="F46" i="1"/>
  <c r="E46" i="1"/>
  <c r="D46" i="1"/>
  <c r="C46" i="1"/>
  <c r="B46" i="1"/>
  <c r="O37" i="1"/>
  <c r="N37" i="1"/>
  <c r="M37" i="1"/>
  <c r="L37" i="1"/>
  <c r="J37" i="1"/>
  <c r="I37" i="1"/>
  <c r="M36" i="1"/>
  <c r="L36" i="1"/>
  <c r="J36" i="1"/>
  <c r="I36" i="1"/>
  <c r="P35" i="1"/>
  <c r="O35" i="1"/>
  <c r="N35" i="1"/>
  <c r="M35" i="1"/>
  <c r="L35" i="1"/>
  <c r="J35" i="1"/>
  <c r="I35" i="1"/>
  <c r="P32" i="1"/>
  <c r="O32" i="1"/>
  <c r="N32" i="1"/>
  <c r="M32" i="1"/>
  <c r="L32" i="1"/>
  <c r="J32" i="1"/>
  <c r="I32" i="1"/>
  <c r="B32" i="1"/>
  <c r="P25" i="1"/>
  <c r="O25" i="1"/>
  <c r="N25" i="1"/>
  <c r="M25" i="1"/>
  <c r="L25" i="1"/>
  <c r="J25" i="1"/>
  <c r="I25" i="1"/>
  <c r="B25" i="1"/>
  <c r="P23" i="1"/>
  <c r="O23" i="1"/>
  <c r="N23" i="1"/>
  <c r="M23" i="1"/>
  <c r="L23" i="1"/>
  <c r="J23" i="1"/>
  <c r="I23" i="1"/>
  <c r="B23" i="1"/>
  <c r="O22" i="1"/>
  <c r="N22" i="1"/>
  <c r="M22" i="1"/>
  <c r="L22" i="1"/>
  <c r="J22" i="1"/>
  <c r="I22" i="1"/>
  <c r="P21" i="1"/>
  <c r="O21" i="1"/>
  <c r="N21" i="1"/>
  <c r="M21" i="1"/>
  <c r="L21" i="1"/>
  <c r="J21" i="1"/>
  <c r="I21" i="1"/>
  <c r="P20" i="1"/>
  <c r="O20" i="1"/>
  <c r="N20" i="1"/>
  <c r="M20" i="1"/>
  <c r="L20" i="1"/>
  <c r="J20" i="1"/>
  <c r="I20" i="1"/>
  <c r="P19" i="1"/>
  <c r="O19" i="1"/>
  <c r="N19" i="1"/>
  <c r="M19" i="1"/>
  <c r="L19" i="1"/>
  <c r="J19" i="1"/>
  <c r="I19" i="1"/>
  <c r="P18" i="1"/>
  <c r="O18" i="1"/>
  <c r="N18" i="1"/>
  <c r="M18" i="1"/>
  <c r="L18" i="1"/>
  <c r="J18" i="1"/>
  <c r="I18" i="1"/>
  <c r="P16" i="1"/>
  <c r="O16" i="1"/>
  <c r="N16" i="1"/>
  <c r="M16" i="1"/>
  <c r="L16" i="1"/>
  <c r="J16" i="1"/>
  <c r="I16" i="1"/>
  <c r="J15" i="1"/>
  <c r="K135" i="5"/>
  <c r="J135" i="5"/>
  <c r="G135" i="5"/>
  <c r="F135" i="5"/>
  <c r="E135" i="5"/>
  <c r="D135" i="5"/>
  <c r="C135" i="5"/>
  <c r="B135" i="5"/>
  <c r="K133" i="5"/>
  <c r="J133" i="5"/>
  <c r="F133" i="5"/>
  <c r="E133" i="5"/>
  <c r="D133" i="5"/>
  <c r="C133" i="5"/>
  <c r="B133" i="5"/>
  <c r="K131" i="5"/>
  <c r="J131" i="5"/>
  <c r="G131" i="5"/>
  <c r="F131" i="5"/>
  <c r="E131" i="5"/>
  <c r="D131" i="5"/>
  <c r="C131" i="5"/>
  <c r="B131" i="5"/>
  <c r="K130" i="5"/>
  <c r="J130" i="5"/>
  <c r="G130" i="5"/>
  <c r="F130" i="5"/>
  <c r="E130" i="5"/>
  <c r="D130" i="5"/>
  <c r="C130" i="5"/>
  <c r="B130" i="5"/>
  <c r="W128" i="5"/>
  <c r="V128" i="5"/>
  <c r="U128" i="5"/>
  <c r="T128" i="5"/>
  <c r="S128" i="5"/>
  <c r="Q128" i="5"/>
  <c r="P128" i="5"/>
  <c r="O128" i="5"/>
  <c r="N128" i="5"/>
  <c r="M128" i="5"/>
  <c r="K128" i="5"/>
  <c r="J128" i="5"/>
  <c r="I128" i="5"/>
  <c r="G128" i="5"/>
  <c r="F128" i="5"/>
  <c r="E128" i="5"/>
  <c r="D128" i="5"/>
  <c r="C128" i="5"/>
  <c r="B128" i="5"/>
  <c r="W126" i="5"/>
  <c r="V126" i="5"/>
  <c r="U126" i="5"/>
  <c r="T126" i="5"/>
  <c r="S126" i="5"/>
  <c r="Q126" i="5"/>
  <c r="P126" i="5"/>
  <c r="O126" i="5"/>
  <c r="N126" i="5"/>
  <c r="M126" i="5"/>
  <c r="K126" i="5"/>
  <c r="J126" i="5"/>
  <c r="I126" i="5"/>
  <c r="G126" i="5"/>
  <c r="F126" i="5"/>
  <c r="E126" i="5"/>
  <c r="D126" i="5"/>
  <c r="C126" i="5"/>
  <c r="B126" i="5"/>
  <c r="W125" i="5"/>
  <c r="V125" i="5"/>
  <c r="U125" i="5"/>
  <c r="T125" i="5"/>
  <c r="S125" i="5"/>
  <c r="Q125" i="5"/>
  <c r="P125" i="5"/>
  <c r="O125" i="5"/>
  <c r="N125" i="5"/>
  <c r="M125" i="5"/>
  <c r="K125" i="5"/>
  <c r="J125" i="5"/>
  <c r="I125" i="5"/>
  <c r="G125" i="5"/>
  <c r="F125" i="5"/>
  <c r="E125" i="5"/>
  <c r="D125" i="5"/>
  <c r="C125" i="5"/>
  <c r="B125" i="5"/>
  <c r="Q124" i="5"/>
  <c r="P124" i="5"/>
  <c r="O124" i="5"/>
  <c r="N124" i="5"/>
  <c r="K123" i="5"/>
  <c r="J123" i="5"/>
  <c r="G123" i="5"/>
  <c r="F123" i="5"/>
  <c r="E123" i="5"/>
  <c r="D123" i="5"/>
  <c r="C123" i="5"/>
  <c r="B123" i="5"/>
  <c r="K122" i="5"/>
  <c r="J122" i="5"/>
  <c r="G122" i="5"/>
  <c r="F122" i="5"/>
  <c r="E122" i="5"/>
  <c r="D122" i="5"/>
  <c r="C122" i="5"/>
  <c r="B122" i="5"/>
  <c r="K119" i="5"/>
  <c r="J119" i="5"/>
  <c r="F119" i="5"/>
  <c r="E119" i="5"/>
  <c r="D119" i="5"/>
  <c r="C119" i="5"/>
  <c r="B119" i="5"/>
  <c r="K118" i="5"/>
  <c r="J118" i="5"/>
  <c r="F118" i="5"/>
  <c r="E118" i="5"/>
  <c r="D118" i="5"/>
  <c r="C118" i="5"/>
  <c r="B118" i="5"/>
  <c r="F117" i="5"/>
  <c r="E117" i="5"/>
  <c r="D117" i="5"/>
  <c r="C117" i="5"/>
  <c r="B117" i="5"/>
  <c r="K116" i="5"/>
  <c r="J116" i="5"/>
  <c r="G116" i="5"/>
  <c r="F116" i="5"/>
  <c r="E116" i="5"/>
  <c r="D116" i="5"/>
  <c r="C116" i="5"/>
  <c r="B116" i="5"/>
  <c r="K115" i="5"/>
  <c r="J115" i="5"/>
  <c r="E115" i="5"/>
  <c r="D115" i="5"/>
  <c r="C115" i="5"/>
  <c r="B115" i="5"/>
  <c r="K114" i="5"/>
  <c r="J114" i="5"/>
  <c r="G114" i="5"/>
  <c r="F114" i="5"/>
  <c r="E114" i="5"/>
  <c r="D114" i="5"/>
  <c r="C114" i="5"/>
  <c r="B114" i="5"/>
  <c r="K113" i="5"/>
  <c r="J113" i="5"/>
  <c r="G113" i="5"/>
  <c r="F113" i="5"/>
  <c r="E113" i="5"/>
  <c r="D113" i="5"/>
  <c r="C113" i="5"/>
  <c r="B113" i="5"/>
  <c r="W111" i="5"/>
  <c r="V111" i="5"/>
  <c r="U111" i="5"/>
  <c r="T111" i="5"/>
  <c r="S111" i="5"/>
  <c r="Q111" i="5"/>
  <c r="P111" i="5"/>
  <c r="O111" i="5"/>
  <c r="N111" i="5"/>
  <c r="M111" i="5"/>
  <c r="K111" i="5"/>
  <c r="J111" i="5"/>
  <c r="I111" i="5"/>
  <c r="G111" i="5"/>
  <c r="F111" i="5"/>
  <c r="E111" i="5"/>
  <c r="D111" i="5"/>
  <c r="C111" i="5"/>
  <c r="B111" i="5"/>
  <c r="K110" i="5"/>
  <c r="F110" i="5"/>
  <c r="E110" i="5"/>
  <c r="D110" i="5"/>
  <c r="C110" i="5"/>
  <c r="B110" i="5"/>
  <c r="G109" i="5"/>
  <c r="F109" i="5"/>
  <c r="E109" i="5"/>
  <c r="D109" i="5"/>
  <c r="C109" i="5"/>
  <c r="B109" i="5"/>
  <c r="G108" i="5"/>
  <c r="F108" i="5"/>
  <c r="E108" i="5"/>
  <c r="D108" i="5"/>
  <c r="C108" i="5"/>
  <c r="B108" i="5"/>
  <c r="G107" i="5"/>
  <c r="E107" i="5"/>
  <c r="D107" i="5"/>
  <c r="C107" i="5"/>
  <c r="B107" i="5"/>
  <c r="F105" i="5"/>
  <c r="E105" i="5"/>
  <c r="D105" i="5"/>
  <c r="C105" i="5"/>
  <c r="B105" i="5"/>
  <c r="F104" i="5"/>
  <c r="E104" i="5"/>
  <c r="D104" i="5"/>
  <c r="C104" i="5"/>
  <c r="B104" i="5"/>
  <c r="G103" i="5"/>
  <c r="F103" i="5"/>
  <c r="E103" i="5"/>
  <c r="D103" i="5"/>
  <c r="G102" i="5"/>
  <c r="F102" i="5"/>
  <c r="E102" i="5"/>
  <c r="D102" i="5"/>
  <c r="C102" i="5"/>
  <c r="B102" i="5"/>
  <c r="G101" i="5"/>
  <c r="F101" i="5"/>
  <c r="E101" i="5"/>
  <c r="D101" i="5"/>
  <c r="C101" i="5"/>
  <c r="B101" i="5"/>
  <c r="G100" i="5"/>
  <c r="F100" i="5"/>
  <c r="E100" i="5"/>
  <c r="D100" i="5"/>
  <c r="C100" i="5"/>
  <c r="B100" i="5"/>
  <c r="G98" i="5"/>
  <c r="F98" i="5"/>
  <c r="E98" i="5"/>
  <c r="D98" i="5"/>
  <c r="C98" i="5"/>
  <c r="B98" i="5"/>
  <c r="G97" i="5"/>
  <c r="F97" i="5"/>
  <c r="E97" i="5"/>
  <c r="D97" i="5"/>
  <c r="C97" i="5"/>
  <c r="B97" i="5"/>
  <c r="W95" i="5"/>
  <c r="V95" i="5"/>
  <c r="U95" i="5"/>
  <c r="T95" i="5"/>
  <c r="S95" i="5"/>
  <c r="Q95" i="5"/>
  <c r="P95" i="5"/>
  <c r="O95" i="5"/>
  <c r="N95" i="5"/>
  <c r="M95" i="5"/>
  <c r="K95" i="5"/>
  <c r="J95" i="5"/>
  <c r="I95" i="5"/>
  <c r="G95" i="5"/>
  <c r="F95" i="5"/>
  <c r="E95" i="5"/>
  <c r="D95" i="5"/>
  <c r="C95" i="5"/>
  <c r="B95" i="5"/>
  <c r="G94" i="5"/>
  <c r="F94" i="5"/>
  <c r="E94" i="5"/>
  <c r="D94" i="5"/>
  <c r="C94" i="5"/>
  <c r="B94" i="5"/>
  <c r="W92" i="5"/>
  <c r="V92" i="5"/>
  <c r="U92" i="5"/>
  <c r="T92" i="5"/>
  <c r="S92" i="5"/>
  <c r="Q92" i="5"/>
  <c r="P92" i="5"/>
  <c r="O92" i="5"/>
  <c r="N92" i="5"/>
  <c r="M92" i="5"/>
  <c r="K92" i="5"/>
  <c r="J92" i="5"/>
  <c r="I92" i="5"/>
  <c r="G92" i="5"/>
  <c r="F92" i="5"/>
  <c r="E92" i="5"/>
  <c r="D92" i="5"/>
  <c r="C92" i="5"/>
  <c r="B92" i="5"/>
  <c r="W91" i="5"/>
  <c r="V91" i="5"/>
  <c r="U91" i="5"/>
  <c r="T91" i="5"/>
  <c r="S91" i="5"/>
  <c r="Q91" i="5"/>
  <c r="P91" i="5"/>
  <c r="O91" i="5"/>
  <c r="N91" i="5"/>
  <c r="M91" i="5"/>
  <c r="K91" i="5"/>
  <c r="J91" i="5"/>
  <c r="G91" i="5"/>
  <c r="F91" i="5"/>
  <c r="E91" i="5"/>
  <c r="D91" i="5"/>
  <c r="C91" i="5"/>
  <c r="B91" i="5"/>
  <c r="W90" i="5"/>
  <c r="V90" i="5"/>
  <c r="U90" i="5"/>
  <c r="T90" i="5"/>
  <c r="S90" i="5"/>
  <c r="Q90" i="5"/>
  <c r="P90" i="5"/>
  <c r="O90" i="5"/>
  <c r="N90" i="5"/>
  <c r="M90" i="5"/>
  <c r="K90" i="5"/>
  <c r="J90" i="5"/>
  <c r="G90" i="5"/>
  <c r="F90" i="5"/>
  <c r="E90" i="5"/>
  <c r="D90" i="5"/>
  <c r="C90" i="5"/>
  <c r="B90" i="5"/>
  <c r="V88" i="5"/>
  <c r="U88" i="5"/>
  <c r="T88" i="5"/>
  <c r="S88" i="5"/>
  <c r="P88" i="5"/>
  <c r="O88" i="5"/>
  <c r="N88" i="5"/>
  <c r="M88" i="5"/>
  <c r="K88" i="5"/>
  <c r="J88" i="5"/>
  <c r="F88" i="5"/>
  <c r="E88" i="5"/>
  <c r="D88" i="5"/>
  <c r="C88" i="5"/>
  <c r="B88" i="5"/>
  <c r="Q87" i="5"/>
  <c r="P87" i="5"/>
  <c r="O87" i="5"/>
  <c r="N87" i="5"/>
  <c r="M87" i="5"/>
  <c r="K87" i="5"/>
  <c r="J87" i="5"/>
  <c r="G87" i="5"/>
  <c r="F87" i="5"/>
  <c r="E87" i="5"/>
  <c r="D87" i="5"/>
  <c r="C87" i="5"/>
  <c r="B87" i="5"/>
  <c r="W86" i="5"/>
  <c r="V86" i="5"/>
  <c r="U86" i="5"/>
  <c r="T86" i="5"/>
  <c r="S86" i="5"/>
  <c r="Q86" i="5"/>
  <c r="P86" i="5"/>
  <c r="O86" i="5"/>
  <c r="N86" i="5"/>
  <c r="M86" i="5"/>
  <c r="K86" i="5"/>
  <c r="J86" i="5"/>
  <c r="I86" i="5"/>
  <c r="G86" i="5"/>
  <c r="F86" i="5"/>
  <c r="E86" i="5"/>
  <c r="D86" i="5"/>
  <c r="C86" i="5"/>
  <c r="B86" i="5"/>
  <c r="W84" i="5"/>
  <c r="V84" i="5"/>
  <c r="U84" i="5"/>
  <c r="T84" i="5"/>
  <c r="S84" i="5"/>
  <c r="Q84" i="5"/>
  <c r="P84" i="5"/>
  <c r="O84" i="5"/>
  <c r="N84" i="5"/>
  <c r="M84" i="5"/>
  <c r="K84" i="5"/>
  <c r="J84" i="5"/>
  <c r="G84" i="5"/>
  <c r="F84" i="5"/>
  <c r="E84" i="5"/>
  <c r="D84" i="5"/>
  <c r="C84" i="5"/>
  <c r="B84" i="5"/>
  <c r="W83" i="5"/>
  <c r="V83" i="5"/>
  <c r="U83" i="5"/>
  <c r="T83" i="5"/>
  <c r="S83" i="5"/>
  <c r="Q83" i="5"/>
  <c r="P83" i="5"/>
  <c r="O83" i="5"/>
  <c r="N83" i="5"/>
  <c r="M83" i="5"/>
  <c r="K83" i="5"/>
  <c r="J83" i="5"/>
  <c r="G83" i="5"/>
  <c r="F83" i="5"/>
  <c r="E83" i="5"/>
  <c r="D83" i="5"/>
  <c r="C83" i="5"/>
  <c r="B83" i="5"/>
  <c r="W82" i="5"/>
  <c r="V82" i="5"/>
  <c r="U82" i="5"/>
  <c r="T82" i="5"/>
  <c r="S82" i="5"/>
  <c r="Q82" i="5"/>
  <c r="P82" i="5"/>
  <c r="O82" i="5"/>
  <c r="N82" i="5"/>
  <c r="M82" i="5"/>
  <c r="K82" i="5"/>
  <c r="J82" i="5"/>
  <c r="I82" i="5"/>
  <c r="G82" i="5"/>
  <c r="F82" i="5"/>
  <c r="E82" i="5"/>
  <c r="D82" i="5"/>
  <c r="C82" i="5"/>
  <c r="B82" i="5"/>
  <c r="W81" i="5"/>
  <c r="V81" i="5"/>
  <c r="U81" i="5"/>
  <c r="T81" i="5"/>
  <c r="S81" i="5"/>
  <c r="Q81" i="5"/>
  <c r="P81" i="5"/>
  <c r="O81" i="5"/>
  <c r="N81" i="5"/>
  <c r="M81" i="5"/>
  <c r="K81" i="5"/>
  <c r="J81" i="5"/>
  <c r="I81" i="5"/>
  <c r="G81" i="5"/>
  <c r="F81" i="5"/>
  <c r="E81" i="5"/>
  <c r="D81" i="5"/>
  <c r="C81" i="5"/>
  <c r="B81" i="5"/>
  <c r="F80" i="5"/>
  <c r="E80" i="5"/>
  <c r="D80" i="5"/>
  <c r="C80" i="5"/>
  <c r="B80" i="5"/>
  <c r="W79" i="5"/>
  <c r="V79" i="5"/>
  <c r="U79" i="5"/>
  <c r="T79" i="5"/>
  <c r="S79" i="5"/>
  <c r="Q79" i="5"/>
  <c r="P79" i="5"/>
  <c r="O79" i="5"/>
  <c r="N79" i="5"/>
  <c r="M79" i="5"/>
  <c r="K79" i="5"/>
  <c r="J79" i="5"/>
  <c r="I79" i="5"/>
  <c r="G79" i="5"/>
  <c r="F79" i="5"/>
  <c r="E79" i="5"/>
  <c r="D79" i="5"/>
  <c r="C79" i="5"/>
  <c r="B79" i="5"/>
  <c r="W78" i="5"/>
  <c r="V78" i="5"/>
  <c r="U78" i="5"/>
  <c r="T78" i="5"/>
  <c r="S78" i="5"/>
  <c r="Q78" i="5"/>
  <c r="P78" i="5"/>
  <c r="O78" i="5"/>
  <c r="N78" i="5"/>
  <c r="M78" i="5"/>
  <c r="K78" i="5"/>
  <c r="J78" i="5"/>
  <c r="I78" i="5"/>
  <c r="G78" i="5"/>
  <c r="F78" i="5"/>
  <c r="E78" i="5"/>
  <c r="D78" i="5"/>
  <c r="C78" i="5"/>
  <c r="B78" i="5"/>
  <c r="W77" i="5"/>
  <c r="V77" i="5"/>
  <c r="U77" i="5"/>
  <c r="T77" i="5"/>
  <c r="S77" i="5"/>
  <c r="Q77" i="5"/>
  <c r="P77" i="5"/>
  <c r="O77" i="5"/>
  <c r="N77" i="5"/>
  <c r="M77" i="5"/>
  <c r="K77" i="5"/>
  <c r="J77" i="5"/>
  <c r="G77" i="5"/>
  <c r="F77" i="5"/>
  <c r="E77" i="5"/>
  <c r="D77" i="5"/>
  <c r="C77" i="5"/>
  <c r="B77" i="5"/>
  <c r="W76" i="5"/>
  <c r="V76" i="5"/>
  <c r="U76" i="5"/>
  <c r="T76" i="5"/>
  <c r="S76" i="5"/>
  <c r="Q76" i="5"/>
  <c r="P76" i="5"/>
  <c r="O76" i="5"/>
  <c r="N76" i="5"/>
  <c r="M76" i="5"/>
  <c r="K76" i="5"/>
  <c r="J76" i="5"/>
  <c r="I76" i="5"/>
  <c r="G76" i="5"/>
  <c r="F76" i="5"/>
  <c r="E76" i="5"/>
  <c r="D76" i="5"/>
  <c r="C76" i="5"/>
  <c r="B76" i="5"/>
  <c r="W75" i="5"/>
  <c r="V75" i="5"/>
  <c r="U75" i="5"/>
  <c r="T75" i="5"/>
  <c r="S75" i="5"/>
  <c r="Q75" i="5"/>
  <c r="P75" i="5"/>
  <c r="O75" i="5"/>
  <c r="N75" i="5"/>
  <c r="M75" i="5"/>
  <c r="K75" i="5"/>
  <c r="J75" i="5"/>
  <c r="I75" i="5"/>
  <c r="G75" i="5"/>
  <c r="F75" i="5"/>
  <c r="E75" i="5"/>
  <c r="D75" i="5"/>
  <c r="C75" i="5"/>
  <c r="B75" i="5"/>
  <c r="K73" i="5"/>
  <c r="G73" i="5"/>
  <c r="F73" i="5"/>
  <c r="E73" i="5"/>
  <c r="D73" i="5"/>
  <c r="C73" i="5"/>
  <c r="K69" i="5"/>
  <c r="J69" i="5"/>
  <c r="G69" i="5"/>
  <c r="F69" i="5"/>
  <c r="E69" i="5"/>
  <c r="D69" i="5"/>
  <c r="C69" i="5"/>
  <c r="B69" i="5"/>
  <c r="K68" i="5"/>
  <c r="J68" i="5"/>
  <c r="G68" i="5"/>
  <c r="F68" i="5"/>
  <c r="E68" i="5"/>
  <c r="D68" i="5"/>
  <c r="C68" i="5"/>
  <c r="B68" i="5"/>
  <c r="K67" i="5"/>
  <c r="J67" i="5"/>
  <c r="G67" i="5"/>
  <c r="F67" i="5"/>
  <c r="E67" i="5"/>
  <c r="D67" i="5"/>
  <c r="C67" i="5"/>
  <c r="B67" i="5"/>
  <c r="K64" i="5"/>
  <c r="J64" i="5"/>
  <c r="F64" i="5"/>
  <c r="E64" i="5"/>
  <c r="D64" i="5"/>
  <c r="C64" i="5"/>
  <c r="B64" i="5"/>
  <c r="K63" i="5"/>
  <c r="J63" i="5"/>
  <c r="F63" i="5"/>
  <c r="E63" i="5"/>
  <c r="D63" i="5"/>
  <c r="C63" i="5"/>
  <c r="K62" i="5"/>
  <c r="J62" i="5"/>
  <c r="F62" i="5"/>
  <c r="E62" i="5"/>
  <c r="D62" i="5"/>
  <c r="C62" i="5"/>
  <c r="B62" i="5"/>
  <c r="K61" i="5"/>
  <c r="J61" i="5"/>
  <c r="G61" i="5"/>
  <c r="F61" i="5"/>
  <c r="E61" i="5"/>
  <c r="D61" i="5"/>
  <c r="C61" i="5"/>
  <c r="B61" i="5"/>
  <c r="K59" i="5"/>
  <c r="J59" i="5"/>
  <c r="G59" i="5"/>
  <c r="F59" i="5"/>
  <c r="E59" i="5"/>
  <c r="D59" i="5"/>
  <c r="C59" i="5"/>
  <c r="B59" i="5"/>
  <c r="K58" i="5"/>
  <c r="J58" i="5"/>
  <c r="G58" i="5"/>
  <c r="F58" i="5"/>
  <c r="E58" i="5"/>
  <c r="D58" i="5"/>
  <c r="C58" i="5"/>
  <c r="B58" i="5"/>
  <c r="K57" i="5"/>
  <c r="J57" i="5"/>
  <c r="G57" i="5"/>
  <c r="F57" i="5"/>
  <c r="E57" i="5"/>
  <c r="D57" i="5"/>
  <c r="C57" i="5"/>
  <c r="B57" i="5"/>
  <c r="K56" i="5"/>
  <c r="J56" i="5"/>
  <c r="G56" i="5"/>
  <c r="F56" i="5"/>
  <c r="E56" i="5"/>
  <c r="D56" i="5"/>
  <c r="C56" i="5"/>
  <c r="B56" i="5"/>
  <c r="K53" i="5"/>
  <c r="J53" i="5"/>
  <c r="F53" i="5"/>
  <c r="E53" i="5"/>
  <c r="D53" i="5"/>
  <c r="C53" i="5"/>
  <c r="B53" i="5"/>
  <c r="K52" i="5"/>
  <c r="J52" i="5"/>
  <c r="F52" i="5"/>
  <c r="E52" i="5"/>
  <c r="D52" i="5"/>
  <c r="C52" i="5"/>
  <c r="B52" i="5"/>
  <c r="K50" i="5"/>
  <c r="J50" i="5"/>
  <c r="G50" i="5"/>
  <c r="F50" i="5"/>
  <c r="E50" i="5"/>
  <c r="D50" i="5"/>
  <c r="C50" i="5"/>
  <c r="B50" i="5"/>
  <c r="W49" i="5"/>
  <c r="V49" i="5"/>
  <c r="U49" i="5"/>
  <c r="T49" i="5"/>
  <c r="S49" i="5"/>
  <c r="Q49" i="5"/>
  <c r="P49" i="5"/>
  <c r="O49" i="5"/>
  <c r="N49" i="5"/>
  <c r="M49" i="5"/>
  <c r="K49" i="5"/>
  <c r="J49" i="5"/>
  <c r="I49" i="5"/>
  <c r="G49" i="5"/>
  <c r="F49" i="5"/>
  <c r="E49" i="5"/>
  <c r="D49" i="5"/>
  <c r="C49" i="5"/>
  <c r="B49" i="5"/>
  <c r="K48" i="5"/>
  <c r="J48" i="5"/>
  <c r="G48" i="5"/>
  <c r="F48" i="5"/>
  <c r="E48" i="5"/>
  <c r="D48" i="5"/>
  <c r="C48" i="5"/>
  <c r="B48" i="5"/>
  <c r="K45" i="5"/>
  <c r="J45" i="5"/>
  <c r="F45" i="5"/>
  <c r="E45" i="5"/>
  <c r="D45" i="5"/>
  <c r="C45" i="5"/>
  <c r="B45" i="5"/>
  <c r="K44" i="5"/>
  <c r="J44" i="5"/>
  <c r="E44" i="5"/>
  <c r="D44" i="5"/>
  <c r="C44" i="5"/>
  <c r="B44" i="5"/>
  <c r="K43" i="5"/>
  <c r="J43" i="5"/>
  <c r="E43" i="5"/>
  <c r="D43" i="5"/>
  <c r="C43" i="5"/>
  <c r="B43" i="5"/>
  <c r="K41" i="5"/>
  <c r="J41" i="5"/>
  <c r="G41" i="5"/>
  <c r="F41" i="5"/>
  <c r="E41" i="5"/>
  <c r="D41" i="5"/>
  <c r="C41" i="5"/>
  <c r="B41" i="5"/>
  <c r="K40" i="5"/>
  <c r="J40" i="5"/>
  <c r="G40" i="5"/>
  <c r="F40" i="5"/>
  <c r="E40" i="5"/>
  <c r="D40" i="5"/>
  <c r="C40" i="5"/>
  <c r="B40" i="5"/>
  <c r="K38" i="5"/>
  <c r="J38" i="5"/>
  <c r="G38" i="5"/>
  <c r="F38" i="5"/>
  <c r="E38" i="5"/>
  <c r="D38" i="5"/>
  <c r="C38" i="5"/>
  <c r="B38" i="5"/>
  <c r="K37" i="5"/>
  <c r="J37" i="5"/>
  <c r="G37" i="5"/>
  <c r="F37" i="5"/>
  <c r="E37" i="5"/>
  <c r="D37" i="5"/>
  <c r="C37" i="5"/>
  <c r="B37" i="5"/>
  <c r="K35" i="5"/>
  <c r="J35" i="5"/>
  <c r="G35" i="5"/>
  <c r="F35" i="5"/>
  <c r="E35" i="5"/>
  <c r="D35" i="5"/>
  <c r="C35" i="5"/>
  <c r="B35" i="5"/>
  <c r="K34" i="5"/>
  <c r="J34" i="5"/>
  <c r="G34" i="5"/>
  <c r="F34" i="5"/>
  <c r="E34" i="5"/>
  <c r="D34" i="5"/>
  <c r="C34" i="5"/>
  <c r="B34" i="5"/>
  <c r="K28" i="5"/>
  <c r="J28" i="5"/>
  <c r="G28" i="5"/>
  <c r="F28" i="5"/>
  <c r="E28" i="5"/>
  <c r="D28" i="5"/>
  <c r="C28" i="5"/>
  <c r="B28" i="5"/>
  <c r="K27" i="5"/>
  <c r="J27" i="5"/>
  <c r="G27" i="5"/>
  <c r="F27" i="5"/>
  <c r="E27" i="5"/>
  <c r="D27" i="5"/>
  <c r="C27" i="5"/>
  <c r="B27" i="5"/>
  <c r="K26" i="5"/>
  <c r="J26" i="5"/>
  <c r="G26" i="5"/>
  <c r="F26" i="5"/>
  <c r="E26" i="5"/>
  <c r="D26" i="5"/>
  <c r="C26" i="5"/>
  <c r="B26" i="5"/>
  <c r="K25" i="5"/>
  <c r="J25" i="5"/>
  <c r="G25" i="5"/>
  <c r="F25" i="5"/>
  <c r="E25" i="5"/>
  <c r="D25" i="5"/>
  <c r="C25" i="5"/>
  <c r="B25" i="5"/>
  <c r="K24" i="5"/>
  <c r="J24" i="5"/>
  <c r="F24" i="5"/>
  <c r="E24" i="5"/>
  <c r="D24" i="5"/>
  <c r="C24" i="5"/>
  <c r="B24" i="5"/>
  <c r="K23" i="5"/>
  <c r="J23" i="5"/>
  <c r="F23" i="5"/>
  <c r="E23" i="5"/>
  <c r="D23" i="5"/>
  <c r="C23" i="5"/>
  <c r="B23" i="5"/>
  <c r="K20" i="5"/>
  <c r="J20" i="5"/>
  <c r="G20" i="5"/>
  <c r="F20" i="5"/>
  <c r="E20" i="5"/>
  <c r="D20" i="5"/>
  <c r="C20" i="5"/>
  <c r="B20" i="5"/>
  <c r="K19" i="5"/>
  <c r="J19" i="5"/>
  <c r="G19" i="5"/>
  <c r="F19" i="5"/>
  <c r="E19" i="5"/>
  <c r="D19" i="5"/>
  <c r="C19" i="5"/>
  <c r="B19" i="5"/>
  <c r="K16" i="5"/>
  <c r="J16" i="5"/>
  <c r="G16" i="5"/>
  <c r="F16" i="5"/>
  <c r="E16" i="5"/>
  <c r="D16" i="5"/>
  <c r="C16" i="5"/>
  <c r="B16" i="5"/>
  <c r="K15" i="5"/>
  <c r="J15" i="5"/>
  <c r="G15" i="5"/>
  <c r="F15" i="5"/>
  <c r="E15" i="5"/>
  <c r="D15" i="5"/>
  <c r="C15" i="5"/>
  <c r="B15" i="5"/>
  <c r="K14" i="5"/>
  <c r="J14" i="5"/>
  <c r="G14" i="5"/>
  <c r="F14" i="5"/>
  <c r="E14" i="5"/>
  <c r="D14" i="5"/>
  <c r="C14" i="5"/>
  <c r="B14" i="5"/>
  <c r="K11" i="5"/>
  <c r="J11" i="5"/>
  <c r="G11" i="5"/>
  <c r="F11" i="5"/>
  <c r="E11" i="5"/>
  <c r="D11" i="5"/>
  <c r="C11" i="5"/>
  <c r="B11" i="5"/>
  <c r="K10" i="5"/>
  <c r="J10" i="5"/>
  <c r="G10" i="5"/>
  <c r="F10" i="5"/>
  <c r="E10" i="5"/>
  <c r="D10" i="5"/>
  <c r="C10" i="5"/>
  <c r="B10" i="5"/>
  <c r="K8" i="5"/>
  <c r="J8" i="5"/>
  <c r="G8" i="5"/>
  <c r="F8" i="5"/>
  <c r="E8" i="5"/>
  <c r="D8" i="5"/>
  <c r="C8" i="5"/>
  <c r="B8" i="5"/>
  <c r="K7" i="5"/>
  <c r="J7" i="5"/>
  <c r="G7" i="5"/>
  <c r="F7" i="5"/>
  <c r="E7" i="5"/>
  <c r="D7" i="5"/>
  <c r="C7" i="5"/>
  <c r="B7" i="5"/>
  <c r="K6" i="5"/>
  <c r="J6" i="5"/>
  <c r="G6" i="5"/>
  <c r="F6" i="5"/>
  <c r="E6" i="5"/>
  <c r="D6" i="5"/>
  <c r="C6" i="5"/>
  <c r="B6" i="5"/>
  <c r="K5" i="5"/>
  <c r="J5" i="5"/>
  <c r="G5" i="5"/>
  <c r="F5" i="5"/>
  <c r="E5" i="5"/>
  <c r="D5" i="5"/>
  <c r="C5" i="5"/>
  <c r="B5" i="5"/>
  <c r="K4" i="5"/>
  <c r="J4" i="5"/>
  <c r="G4" i="5"/>
  <c r="F4" i="5"/>
  <c r="E4" i="5"/>
  <c r="D4" i="5"/>
  <c r="C4" i="5"/>
  <c r="B4" i="5"/>
  <c r="B184" i="35"/>
  <c r="C184" i="3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<sst xmlns="http://schemas.openxmlformats.org/spreadsheetml/2006/main" count="3355" uniqueCount="1018">
  <si>
    <t>Powered by Clearbit</t>
  </si>
  <si>
    <t>Lions Gate Entertainment Corp (NYS: LGF A)</t>
  </si>
  <si>
    <t xml:space="preserve">Exchange rate used is that of the Year End reported date </t>
  </si>
  <si>
    <t xml:space="preserve">As Reported Annual Income Statement </t>
  </si>
  <si>
    <t>Report Date</t>
  </si>
  <si>
    <t>03/31/2020</t>
  </si>
  <si>
    <t>03/31/2019</t>
  </si>
  <si>
    <t>03/31/2018</t>
  </si>
  <si>
    <t>03/31/2017</t>
  </si>
  <si>
    <t>03/31/2016</t>
  </si>
  <si>
    <t>Currency</t>
  </si>
  <si>
    <t>USD</t>
  </si>
  <si>
    <t>Audit Status</t>
  </si>
  <si>
    <t>Not Qualified</t>
  </si>
  <si>
    <t>Consolidated</t>
  </si>
  <si>
    <t>Yes</t>
  </si>
  <si>
    <t>Scale</t>
  </si>
  <si>
    <t>Thousands</t>
  </si>
  <si>
    <t>Revenues</t>
  </si>
  <si>
    <t>Direct operating</t>
  </si>
  <si>
    <t>Distribution &amp; marketing</t>
  </si>
  <si>
    <t>General &amp; administration</t>
  </si>
  <si>
    <t>Depreciation &amp; amortization</t>
  </si>
  <si>
    <t>Restructuring &amp; other expenses</t>
  </si>
  <si>
    <t>-</t>
  </si>
  <si>
    <t>Income (loss) from operations</t>
  </si>
  <si>
    <t>Interest expense</t>
  </si>
  <si>
    <t>Interest on dissenting shareholders' liability</t>
  </si>
  <si>
    <t>Cash interest</t>
  </si>
  <si>
    <t>Amortization of debt discount &amp; deferred financing costs</t>
  </si>
  <si>
    <t>Discount &amp; financing costs amortization</t>
  </si>
  <si>
    <t>Shareholder litigation settlements</t>
  </si>
  <si>
    <t>Interest &amp; other income</t>
  </si>
  <si>
    <t>Other expense</t>
  </si>
  <si>
    <t>Gain (loss) on extinguishment of debt</t>
  </si>
  <si>
    <t>Gain on sale of equity interest in EPIX</t>
  </si>
  <si>
    <t>Gain (loss) on Starz investment</t>
  </si>
  <si>
    <t>Gain (loss) on investments</t>
  </si>
  <si>
    <t>Impairment of long-term investments &amp; other assets</t>
  </si>
  <si>
    <t>Total other expenses, net</t>
  </si>
  <si>
    <t>Income (loss) before equity interests &amp; income taxes</t>
  </si>
  <si>
    <t>Equity interests income (loss)</t>
  </si>
  <si>
    <t>Income (loss) before income taxes - United States</t>
  </si>
  <si>
    <t>Income before income taxes - international</t>
  </si>
  <si>
    <t>Income (loss) before income taxes</t>
  </si>
  <si>
    <t>Current federal income taxes (benefit)</t>
  </si>
  <si>
    <t>Current state income taxes (benefit)</t>
  </si>
  <si>
    <t>Current international taxes (benefit)</t>
  </si>
  <si>
    <t>Total current income taxes (benefit)</t>
  </si>
  <si>
    <t>Deferred federal income taxes (benefit)</t>
  </si>
  <si>
    <t>Deferred state income taxes (benefit)</t>
  </si>
  <si>
    <t>Deferred international taxes (benefit)</t>
  </si>
  <si>
    <t>Total deferred income taxes (benefit)</t>
  </si>
  <si>
    <t>Income tax provision (benefit)</t>
  </si>
  <si>
    <t>Net income (loss)</t>
  </si>
  <si>
    <t>Less: net loss attributable to noncontrolling interest</t>
  </si>
  <si>
    <t>Net income (loss) attributable to Lions Gate Entertainment Corporation shareholders</t>
  </si>
  <si>
    <t>Weighted average shares outstanding - basic</t>
  </si>
  <si>
    <t>Weighted average shares outstanding - diluted</t>
  </si>
  <si>
    <t>Year end shares outstanding</t>
  </si>
  <si>
    <t>Net earnings (loss) per share - basic</t>
  </si>
  <si>
    <t>Net earnings (loss) per share - diluted</t>
  </si>
  <si>
    <t>Dividends per common share</t>
  </si>
  <si>
    <t>Number of full time employees</t>
  </si>
  <si>
    <t>Class A common stockholders</t>
  </si>
  <si>
    <t>Class B common stockholders</t>
  </si>
  <si>
    <t>Number of common stockholders</t>
  </si>
  <si>
    <t>Total number of stockholders</t>
  </si>
  <si>
    <t>Foreign currency translation adjustments</t>
  </si>
  <si>
    <t>Total equity</t>
  </si>
  <si>
    <t>Noncontrolling interests</t>
  </si>
  <si>
    <t>Total Lions Gate Entertainment Corp. shareholders' equity</t>
  </si>
  <si>
    <t>Accumulated other comprehensive income (loss)</t>
  </si>
  <si>
    <t>Retained earnings (accumulated deficit)</t>
  </si>
  <si>
    <t>Common shares</t>
  </si>
  <si>
    <t>Class B non-voting common shares</t>
  </si>
  <si>
    <t>Class A voting common shares</t>
  </si>
  <si>
    <t>Redeemable noncontrolling interest</t>
  </si>
  <si>
    <t>Total liabilities</t>
  </si>
  <si>
    <t>Deferred tax liabilities</t>
  </si>
  <si>
    <t>Deferred revenue</t>
  </si>
  <si>
    <t>Dissenting shareholders' liability</t>
  </si>
  <si>
    <t>Other liabilities</t>
  </si>
  <si>
    <t>Film obligations &amp; production loans</t>
  </si>
  <si>
    <t>Participations &amp; residuals</t>
  </si>
  <si>
    <t>5.25% senior notes</t>
  </si>
  <si>
    <t>Term loan</t>
  </si>
  <si>
    <t>Senior revolving credit facility</t>
  </si>
  <si>
    <t>Debt</t>
  </si>
  <si>
    <t>Less: current portion</t>
  </si>
  <si>
    <t>Total debt, net</t>
  </si>
  <si>
    <t>Unamortized discount &amp; debt issuance costs, net of fair value adjustment on capital lease obligations</t>
  </si>
  <si>
    <t>Total debt</t>
  </si>
  <si>
    <t>Finance lease obligations</t>
  </si>
  <si>
    <t>Capital lease obligations</t>
  </si>
  <si>
    <t>Convertible senior subordinated notes</t>
  </si>
  <si>
    <t>Total corporate debt</t>
  </si>
  <si>
    <t>Senior notes</t>
  </si>
  <si>
    <t>Total current liabilities</t>
  </si>
  <si>
    <t>Debt - short term portion</t>
  </si>
  <si>
    <t>Accounts payable &amp; accrued liabilities</t>
  </si>
  <si>
    <t>Total assets</t>
  </si>
  <si>
    <t>Deferred tax assets</t>
  </si>
  <si>
    <t>Other assets</t>
  </si>
  <si>
    <t>Goodwill</t>
  </si>
  <si>
    <t>Intangible assets</t>
  </si>
  <si>
    <t>Investments</t>
  </si>
  <si>
    <t>Property &amp; equipment, net</t>
  </si>
  <si>
    <t>Investment in films &amp; television programs &amp; program rights, net</t>
  </si>
  <si>
    <t>Investment in films &amp; television programs, net</t>
  </si>
  <si>
    <t>Total current assets</t>
  </si>
  <si>
    <t>Other current assets</t>
  </si>
  <si>
    <t>Program rights</t>
  </si>
  <si>
    <t>Accounts receivable, net</t>
  </si>
  <si>
    <t>Restricted cash</t>
  </si>
  <si>
    <t>Cash &amp; cash equivalents</t>
  </si>
  <si>
    <t xml:space="preserve">As Reported Annual Balance Sheet </t>
  </si>
  <si>
    <t>Redeemable noncontrolling interest adjustments to redemption value</t>
  </si>
  <si>
    <t>Dividends declared</t>
  </si>
  <si>
    <t>Cumulative effect of accounting changes</t>
  </si>
  <si>
    <t>Previous retained earnings (accumulated deficit)</t>
  </si>
  <si>
    <t xml:space="preserve">As Reported Annual Retained Earnings </t>
  </si>
  <si>
    <t>Income taxes paid</t>
  </si>
  <si>
    <t>Interest expense paid</t>
  </si>
  <si>
    <t>Cash, cash equivalents &amp; restricted cash - end of period</t>
  </si>
  <si>
    <t>Cash, cash equivalents &amp; restricted cash - beginning of period</t>
  </si>
  <si>
    <t>Foreign exchange effects on cash, cash equivalents &amp; restricted cash</t>
  </si>
  <si>
    <t>Net cash flows from financing activities</t>
  </si>
  <si>
    <t>Tax withholding required on equity awards</t>
  </si>
  <si>
    <t>Exercise of stock options</t>
  </si>
  <si>
    <t>Distributions to noncontrolling interest</t>
  </si>
  <si>
    <t>Dividends paid</t>
  </si>
  <si>
    <t>Repurchase of common shares</t>
  </si>
  <si>
    <t>Payment of dissenter liability accrued at acquisition</t>
  </si>
  <si>
    <t>Production loans - repayments</t>
  </si>
  <si>
    <t>Production loans - borrowings</t>
  </si>
  <si>
    <t>Term loans &amp; 5.25% senior notes - borrowings</t>
  </si>
  <si>
    <t>Debt - repayments</t>
  </si>
  <si>
    <t>Debt - borrowings</t>
  </si>
  <si>
    <t>Convertible senior subordinated notes - repurchases</t>
  </si>
  <si>
    <t>Senior revolving credit facility - repayments</t>
  </si>
  <si>
    <t>Senior revolving credit facility - borrowings</t>
  </si>
  <si>
    <t>Net cash flows from investing activities</t>
  </si>
  <si>
    <t>Capital expenditures</t>
  </si>
  <si>
    <t>Purchases of other investments</t>
  </si>
  <si>
    <t>Purchase of Pilgrim Studios, net</t>
  </si>
  <si>
    <t>Purchase of Starz, net</t>
  </si>
  <si>
    <t>Business acquisitions, net</t>
  </si>
  <si>
    <t>Distributions from equity method investee</t>
  </si>
  <si>
    <t>Investment in equity method investees &amp; other</t>
  </si>
  <si>
    <t>Investment in equity method investees</t>
  </si>
  <si>
    <t>Proceeds from the sale of equity method investee, net of transaction costs</t>
  </si>
  <si>
    <t>Net cash flows from operating activities</t>
  </si>
  <si>
    <t xml:space="preserve">As Reported Annual Cash Flow </t>
  </si>
  <si>
    <t>Profitability Ratios</t>
  </si>
  <si>
    <t>Gross Profit Margin</t>
  </si>
  <si>
    <t>Net Profit Margin</t>
  </si>
  <si>
    <t>Operating Profit Margin</t>
  </si>
  <si>
    <t>Expenses:</t>
  </si>
  <si>
    <t xml:space="preserve">  Total expenses</t>
  </si>
  <si>
    <t xml:space="preserve">  Total interest expense</t>
  </si>
  <si>
    <t>EBIT Profit Margin</t>
  </si>
  <si>
    <t>Average</t>
  </si>
  <si>
    <t>σ</t>
  </si>
  <si>
    <t>Degree of Operating Leverage</t>
  </si>
  <si>
    <t>Degree of Financial Leverage</t>
  </si>
  <si>
    <t>Return on Assets (ROA)</t>
  </si>
  <si>
    <t>Return on Equity (ROE)</t>
  </si>
  <si>
    <t>Debt Ratios</t>
  </si>
  <si>
    <t>Debt to Assets</t>
  </si>
  <si>
    <t xml:space="preserve">Debt to Equity </t>
  </si>
  <si>
    <t>Interest Coverage (TIE)</t>
  </si>
  <si>
    <t>Liquidity Ratios</t>
  </si>
  <si>
    <t>Debt Management</t>
  </si>
  <si>
    <t>Debt ratio (interest bearing)</t>
  </si>
  <si>
    <t>Current Ratio</t>
  </si>
  <si>
    <t>Quick Ratio</t>
  </si>
  <si>
    <t>Asset Management Ratios</t>
  </si>
  <si>
    <t>Inventory Turnover (Sales)</t>
  </si>
  <si>
    <t>Inventory Turnover (COGS)</t>
  </si>
  <si>
    <t>Days Sales Outstanding (360)</t>
  </si>
  <si>
    <t>Days Sales Outstanding (365)</t>
  </si>
  <si>
    <t>Fixed Asset Turnover</t>
  </si>
  <si>
    <t>Total Asset Turnover</t>
  </si>
  <si>
    <t xml:space="preserve">   Distribution equipment</t>
  </si>
  <si>
    <t xml:space="preserve">   Building</t>
  </si>
  <si>
    <t xml:space="preserve">   Leasehold improvements</t>
  </si>
  <si>
    <t xml:space="preserve">   Property &amp; equipment</t>
  </si>
  <si>
    <t xml:space="preserve">   Computer equipment &amp; software</t>
  </si>
  <si>
    <t xml:space="preserve"> Property &amp; equipment, gross</t>
  </si>
  <si>
    <t xml:space="preserve"> Less accumulated depreciation &amp; amortization</t>
  </si>
  <si>
    <t xml:space="preserve"> Total before land</t>
  </si>
  <si>
    <t xml:space="preserve"> Land</t>
  </si>
  <si>
    <t xml:space="preserve">  Deferred financing costs, net of accumulated amortization</t>
  </si>
  <si>
    <t xml:space="preserve">  Prepaid expenses &amp; other assets</t>
  </si>
  <si>
    <t xml:space="preserve">  Accounts receivable</t>
  </si>
  <si>
    <t xml:space="preserve">  Tax credits receivable</t>
  </si>
  <si>
    <t xml:space="preserve">  Operating lease right-of-use assets</t>
  </si>
  <si>
    <t xml:space="preserve">  Finite-lived intangible assets</t>
  </si>
  <si>
    <t xml:space="preserve">  Prepaid expenses &amp; other current assets</t>
  </si>
  <si>
    <t xml:space="preserve">  Product inventory</t>
  </si>
  <si>
    <t xml:space="preserve"> Accounts receivable, gross</t>
  </si>
  <si>
    <t xml:space="preserve">  Less: reserves for returns &amp; allowances</t>
  </si>
  <si>
    <t xml:space="preserve">  Less: provision for doubtful accounts</t>
  </si>
  <si>
    <t xml:space="preserve">  Net unrealized gain (loss) on cash flow hedges</t>
  </si>
  <si>
    <t xml:space="preserve">  Foreign currency translation adjustments</t>
  </si>
  <si>
    <t>Total Liabilities &amp; Equity</t>
  </si>
  <si>
    <t>Adjustments to reconcile NI (loss) to net cash provided by operating activities</t>
  </si>
  <si>
    <t xml:space="preserve">  Depreciation &amp; amortization</t>
  </si>
  <si>
    <t xml:space="preserve">  Amortization of films &amp; television programs &amp; program rights</t>
  </si>
  <si>
    <t xml:space="preserve">  Interest on dissenting shareholders' liability</t>
  </si>
  <si>
    <t xml:space="preserve">  Non-cash share-based compensation</t>
  </si>
  <si>
    <t xml:space="preserve">  Other amortization</t>
  </si>
  <si>
    <t xml:space="preserve">  Other non-cash items</t>
  </si>
  <si>
    <t xml:space="preserve">  Distribution from equity method investee</t>
  </si>
  <si>
    <t xml:space="preserve">  Gain (loss) on Starz investment</t>
  </si>
  <si>
    <t xml:space="preserve">  Loss on extinguishment of debt</t>
  </si>
  <si>
    <t xml:space="preserve">  Equity interests loss (income)</t>
  </si>
  <si>
    <t xml:space="preserve">  Loss (gain) on investments</t>
  </si>
  <si>
    <t xml:space="preserve">  Loss (gain) on sale of equity interest in EPIX</t>
  </si>
  <si>
    <t xml:space="preserve">  Impairment of long-term investments &amp; other assets</t>
  </si>
  <si>
    <t xml:space="preserve">  Deferred income taxes (benefit)</t>
  </si>
  <si>
    <t>Changes in operating assets &amp; liabilities</t>
  </si>
  <si>
    <t xml:space="preserve">  Restricted cash</t>
  </si>
  <si>
    <t xml:space="preserve">  Accounts receivable, net &amp; other assets</t>
  </si>
  <si>
    <t xml:space="preserve">  Accounts receivable, net</t>
  </si>
  <si>
    <t xml:space="preserve">  Investment in films &amp; television programs</t>
  </si>
  <si>
    <t xml:space="preserve">  Investment in films &amp; television programs &amp; program rights, net</t>
  </si>
  <si>
    <t xml:space="preserve">  Accounts payable &amp; accrued liabilities</t>
  </si>
  <si>
    <t xml:space="preserve">  Participations &amp; residuals</t>
  </si>
  <si>
    <t xml:space="preserve">  Film obligations</t>
  </si>
  <si>
    <t xml:space="preserve">  Deferred revenue</t>
  </si>
  <si>
    <t>Operating Activities</t>
  </si>
  <si>
    <t>Investing Activities</t>
  </si>
  <si>
    <t>Financing Activities</t>
  </si>
  <si>
    <t>Average Interest Rate</t>
  </si>
  <si>
    <t>Gross Profit Margin (COGS + distribution/mkt)</t>
  </si>
  <si>
    <t>EBT</t>
  </si>
  <si>
    <t>EBIT</t>
  </si>
  <si>
    <t>Financial Ratios &amp; Additional Data</t>
  </si>
  <si>
    <t>DSO short term receivables only</t>
  </si>
  <si>
    <t>Film/TV Investment Turnover</t>
  </si>
  <si>
    <t>ROIA (return on investment assets)</t>
  </si>
  <si>
    <t>Additional Calculations</t>
  </si>
  <si>
    <t>BEP on investment assets</t>
  </si>
  <si>
    <t>Financial Data</t>
  </si>
  <si>
    <t>Operating current assets</t>
  </si>
  <si>
    <t>Operating current liabilities</t>
  </si>
  <si>
    <t>Operating Long Term Assets</t>
  </si>
  <si>
    <t>Total Net Operating Capital</t>
  </si>
  <si>
    <t>Net operating Working Capital</t>
  </si>
  <si>
    <t>EBITDA</t>
  </si>
  <si>
    <t>NOPAT</t>
  </si>
  <si>
    <t>FCF</t>
  </si>
  <si>
    <t>NI</t>
  </si>
  <si>
    <t>Total Book Value of Common Equity</t>
  </si>
  <si>
    <t>Liquidation Book Value of CE</t>
  </si>
  <si>
    <t>Common Shares Outstanding</t>
  </si>
  <si>
    <t>EPS (diluted)</t>
  </si>
  <si>
    <t>SPS</t>
  </si>
  <si>
    <t>DPS</t>
  </si>
  <si>
    <t>FCFPS</t>
  </si>
  <si>
    <t>Retention Ratio</t>
  </si>
  <si>
    <t>BVPS</t>
  </si>
  <si>
    <t>Liquidation BVPS</t>
  </si>
  <si>
    <t>CF/A</t>
  </si>
  <si>
    <t>CF/S</t>
  </si>
  <si>
    <t>Marginal Return on Equity</t>
  </si>
  <si>
    <t>ROIC</t>
  </si>
  <si>
    <t>Reinvestment Rate</t>
  </si>
  <si>
    <t>Expected Growth Rate</t>
  </si>
  <si>
    <t>N/A</t>
  </si>
  <si>
    <t>2015 to 2016</t>
  </si>
  <si>
    <t>2016 to 2017</t>
  </si>
  <si>
    <t>2017 to 2018</t>
  </si>
  <si>
    <t>2018 to 2019</t>
  </si>
  <si>
    <t>Avg. Growth</t>
  </si>
  <si>
    <t>Effective Tax Rate</t>
  </si>
  <si>
    <t>Days Inventory Outstanding (365)</t>
  </si>
  <si>
    <t>Days Payables Outstanding (365)</t>
  </si>
  <si>
    <t xml:space="preserve">Cash Conversion Cycle </t>
  </si>
  <si>
    <t>Operating CF</t>
  </si>
  <si>
    <t>Net CF</t>
  </si>
  <si>
    <t xml:space="preserve">EBITDA </t>
  </si>
  <si>
    <t>EPS (all equity)</t>
  </si>
  <si>
    <t>NI attributable to LGF</t>
  </si>
  <si>
    <t>&lt;--- total shares (Class A/B)</t>
  </si>
  <si>
    <t>Payout Ratio</t>
  </si>
  <si>
    <t>Marginal return on invesment assets</t>
  </si>
  <si>
    <t xml:space="preserve">Marginal return on assets </t>
  </si>
  <si>
    <t>ROE (beginning period)</t>
  </si>
  <si>
    <t>BEP (basic earning power) - EBITDA</t>
  </si>
  <si>
    <t>BEP (basic earning power) - EBIT</t>
  </si>
  <si>
    <t>Intangible, Goodwill, Film/TV, Program Turnover</t>
  </si>
  <si>
    <t>EBITDA Profit Margin</t>
  </si>
  <si>
    <t>Motion Picture</t>
  </si>
  <si>
    <t>Television Production</t>
  </si>
  <si>
    <t>Media Networks</t>
  </si>
  <si>
    <t xml:space="preserve">  Theatrical</t>
  </si>
  <si>
    <t xml:space="preserve">  Home Entertainment</t>
  </si>
  <si>
    <t xml:space="preserve">  Television</t>
  </si>
  <si>
    <t xml:space="preserve">  International</t>
  </si>
  <si>
    <t xml:space="preserve">  Other - (TV Prod)</t>
  </si>
  <si>
    <t xml:space="preserve">  Other (Motion Picture)</t>
  </si>
  <si>
    <t>Intersegment revenue eliminations</t>
  </si>
  <si>
    <t>LGF operating segments revenues</t>
  </si>
  <si>
    <t xml:space="preserve">  Starz Networks</t>
  </si>
  <si>
    <t xml:space="preserve">  Starzplay international</t>
  </si>
  <si>
    <t xml:space="preserve">  Content and Other </t>
  </si>
  <si>
    <t xml:space="preserve">  Other streaming services</t>
  </si>
  <si>
    <t>Dollar Value of Segment Revenues</t>
  </si>
  <si>
    <t>Avg Growth Rate</t>
  </si>
  <si>
    <t>CAGR</t>
  </si>
  <si>
    <t>Geomean factors</t>
  </si>
  <si>
    <t>% of Investments in film/tv relative to total LTA</t>
  </si>
  <si>
    <t>Total Long-term assets</t>
  </si>
  <si>
    <t>Earnings per share</t>
  </si>
  <si>
    <t>Dividends per share</t>
  </si>
  <si>
    <t>Payout ratio</t>
  </si>
  <si>
    <t>Retention ratio</t>
  </si>
  <si>
    <t>Dividend Policy</t>
  </si>
  <si>
    <t>average</t>
  </si>
  <si>
    <t>WideOpenWest Inc</t>
  </si>
  <si>
    <t>Vivendi</t>
  </si>
  <si>
    <t>ViacomCBS Inc</t>
  </si>
  <si>
    <t>Transcosmos Inc (Japan)</t>
  </si>
  <si>
    <t>Tokyo Broadcasting System Holdings Inc</t>
  </si>
  <si>
    <t>Toho Co., Ltd. (Service Co)</t>
  </si>
  <si>
    <t>Toei Co., Ltd.</t>
  </si>
  <si>
    <t>Time Warner Entertainment Co., L.P.</t>
  </si>
  <si>
    <t>Television Francaise 1 S.A.</t>
  </si>
  <si>
    <t>TEGNA Inc</t>
  </si>
  <si>
    <t>Spanish Broadcasting System Inc</t>
  </si>
  <si>
    <t>Sony Corp</t>
  </si>
  <si>
    <t>Sinclair Broadcast Group Inc</t>
  </si>
  <si>
    <t>Shenzhen Overseas Chinese Town Co Ltd</t>
  </si>
  <si>
    <t>Sega Sammy Holdings Inc</t>
  </si>
  <si>
    <t>Scripps (EW) Company (The)</t>
  </si>
  <si>
    <t>Saga Communications Inc</t>
  </si>
  <si>
    <t>Roku Inc</t>
  </si>
  <si>
    <t>Nippon Television Holdings Inc</t>
  </si>
  <si>
    <t>Nexstar Media Group Inc</t>
  </si>
  <si>
    <t>MGM Holdings Inc</t>
  </si>
  <si>
    <t>MetroPole Television SA (M6)</t>
  </si>
  <si>
    <t>Meredith Corp</t>
  </si>
  <si>
    <t>MediaNews Group, Inc.</t>
  </si>
  <si>
    <t>Lions Gate Entertainment Corp</t>
  </si>
  <si>
    <t>Liberty Media Corp (DE)</t>
  </si>
  <si>
    <t>Jiangsu Phoenix Publishing and Media Corporation Limited</t>
  </si>
  <si>
    <t>Insight Communications Co., L.P.</t>
  </si>
  <si>
    <t>Hemisphere Media Group Inc</t>
  </si>
  <si>
    <t>Happinet Corp. (Japan)</t>
  </si>
  <si>
    <t>Gray Television Inc</t>
  </si>
  <si>
    <t>Granite Broadcasting Corp</t>
  </si>
  <si>
    <t>Graham Holdings Co.</t>
  </si>
  <si>
    <t>General Electric Co</t>
  </si>
  <si>
    <t>Fuji Media Holdings Inc</t>
  </si>
  <si>
    <t>Fox Corp</t>
  </si>
  <si>
    <t>Entravision Communications Corp.</t>
  </si>
  <si>
    <t>Egmont International Holding A/S (Denmark)</t>
  </si>
  <si>
    <t>Egmont Foundation (The) (Denmark)</t>
  </si>
  <si>
    <t>Disney (Walt) Co. (The)</t>
  </si>
  <si>
    <t>Discovery Inc</t>
  </si>
  <si>
    <t>Daiichikosho Co Ltd</t>
  </si>
  <si>
    <t>Comcast Corp</t>
  </si>
  <si>
    <t>CJ E&amp;M Corp</t>
  </si>
  <si>
    <t>Bandai Namco Holdings Inc</t>
  </si>
  <si>
    <t>Avex Inc</t>
  </si>
  <si>
    <t>AMC Networks Inc</t>
  </si>
  <si>
    <t>Peer Avr: 1.33</t>
  </si>
  <si>
    <t>Peer Avr: 1.23</t>
  </si>
  <si>
    <t>Peer Avr: 1.54</t>
  </si>
  <si>
    <t>Peer Avr: 1.14</t>
  </si>
  <si>
    <t>Peer Avr: 1.16</t>
  </si>
  <si>
    <t>Peer Avr: 0.77</t>
  </si>
  <si>
    <t>Peer Avr: 506482.11</t>
  </si>
  <si>
    <t>Peer Avr: 563306.58</t>
  </si>
  <si>
    <t>Peer Avr: 560829.4</t>
  </si>
  <si>
    <t>Peer Avr: 591913.93</t>
  </si>
  <si>
    <t>Peer Avr: 611650.82</t>
  </si>
  <si>
    <t>Peer Avr: 681628.1</t>
  </si>
  <si>
    <t>Peer Avr: 0.65</t>
  </si>
  <si>
    <t>Peer Avr: 0.68</t>
  </si>
  <si>
    <t>Peer Avr: 0.67</t>
  </si>
  <si>
    <t>Peer Avr: 0.84</t>
  </si>
  <si>
    <t>Peer Avr: 7.48</t>
  </si>
  <si>
    <t>Peer Avr: 6.31</t>
  </si>
  <si>
    <t>Peer Avr: 7.35</t>
  </si>
  <si>
    <t>Peer Avr: 7.39</t>
  </si>
  <si>
    <t>Peer Avr: 5.79</t>
  </si>
  <si>
    <t>Peer Avr: 1.22</t>
  </si>
  <si>
    <t>Peer Avr: 13.13</t>
  </si>
  <si>
    <t>Peer Avr: 9.62</t>
  </si>
  <si>
    <t>Peer Avr: 36.65</t>
  </si>
  <si>
    <t>Peer Avr: 16.26</t>
  </si>
  <si>
    <t>Peer Avr: 9.3</t>
  </si>
  <si>
    <t>Peer Avr: 3.87</t>
  </si>
  <si>
    <t>Peer Avr: 3.82</t>
  </si>
  <si>
    <t>Peer Avr: 3.37</t>
  </si>
  <si>
    <t>Peer Avr: 5</t>
  </si>
  <si>
    <t>Peer Avr: 4.18</t>
  </si>
  <si>
    <t>Peer Avr: 3.06</t>
  </si>
  <si>
    <t>Peer Avr: 2.75</t>
  </si>
  <si>
    <t>Peer Avr: 1.43</t>
  </si>
  <si>
    <t>Peer Avr: 1.52</t>
  </si>
  <si>
    <t>Peer Avr: 1.58</t>
  </si>
  <si>
    <t>Peer Avr: 1.64</t>
  </si>
  <si>
    <t>Peer Avr: 1.51</t>
  </si>
  <si>
    <t>Peer Avr: 1.69</t>
  </si>
  <si>
    <t>Peer Avr: 10.19</t>
  </si>
  <si>
    <t>Peer Avr: 11.71</t>
  </si>
  <si>
    <t>Peer Avr: 10.77</t>
  </si>
  <si>
    <t>Peer Avr: 10.52</t>
  </si>
  <si>
    <t>Peer Avr: 8.33</t>
  </si>
  <si>
    <t>Peer Avr: 1.88</t>
  </si>
  <si>
    <t>Peer Avr: 5.6</t>
  </si>
  <si>
    <t>Peer Avr: 7.15</t>
  </si>
  <si>
    <t>Peer Avr: 10.92</t>
  </si>
  <si>
    <t>Peer Avr: 7.51</t>
  </si>
  <si>
    <t>Peer Avr: 5.32</t>
  </si>
  <si>
    <t>Peer Avr: 4.14</t>
  </si>
  <si>
    <t>Peer Avr: 14.49</t>
  </si>
  <si>
    <t>Peer Avr: 15.05</t>
  </si>
  <si>
    <t>Peer Avr: 13.82</t>
  </si>
  <si>
    <t>Peer Avr: 15.49</t>
  </si>
  <si>
    <t>Peer Avr: 15.89</t>
  </si>
  <si>
    <t>Peer Avr: 23.25</t>
  </si>
  <si>
    <t>Peer Avr: 24.89</t>
  </si>
  <si>
    <t>Peer Avr: 24.4</t>
  </si>
  <si>
    <t>Peer Avr: 17.41</t>
  </si>
  <si>
    <t>Peer Avr: 16.34</t>
  </si>
  <si>
    <t>Peer Avr: 19.43</t>
  </si>
  <si>
    <t>Peer Avr: 24.74</t>
  </si>
  <si>
    <t>Peer Avr: 56.95</t>
  </si>
  <si>
    <t>Peer Avr: 70.64</t>
  </si>
  <si>
    <t>Peer Avr: 189.58</t>
  </si>
  <si>
    <t>Peer Avr: 166.97</t>
  </si>
  <si>
    <t>Peer Avr: 511.85</t>
  </si>
  <si>
    <t>Peer Avr: 877.21</t>
  </si>
  <si>
    <t>Peer Avr: 46.65</t>
  </si>
  <si>
    <t>Peer Avr: 45.68</t>
  </si>
  <si>
    <t>Peer Avr: 45.41</t>
  </si>
  <si>
    <t>Peer Avr: 45.63</t>
  </si>
  <si>
    <t>Peer Avr: 44.93</t>
  </si>
  <si>
    <t>Peer Avr: 35.85</t>
  </si>
  <si>
    <t>Peer Avr: 15.31</t>
  </si>
  <si>
    <t>Peer Avr: 16.68</t>
  </si>
  <si>
    <t>Peer Avr: 17.88</t>
  </si>
  <si>
    <t>Peer Avr: 16.89</t>
  </si>
  <si>
    <t>Peer Avr: 15.12</t>
  </si>
  <si>
    <t>Peer Avr: 8.71</t>
  </si>
  <si>
    <t>Peer Avr: 6.53</t>
  </si>
  <si>
    <t>Peer Avr: 8.09</t>
  </si>
  <si>
    <t>Peer Avr: 7.81</t>
  </si>
  <si>
    <t>Peer Avr: 6.82</t>
  </si>
  <si>
    <t>Peer Avr: 4.69</t>
  </si>
  <si>
    <t>Peer Avr: 0.57</t>
  </si>
  <si>
    <t>Peer Avr: 1.89</t>
  </si>
  <si>
    <t>Peer Avr: 1.93</t>
  </si>
  <si>
    <t>Peer Avr: 2.11</t>
  </si>
  <si>
    <t>Peer Avr: 2.03</t>
  </si>
  <si>
    <t>Peer Avr: 1.9</t>
  </si>
  <si>
    <t>Peer Avr: 2.09</t>
  </si>
  <si>
    <t>Peer Avr: 54.95</t>
  </si>
  <si>
    <t>Peer Avr: 32.79</t>
  </si>
  <si>
    <t>Peer Avr: 5.53</t>
  </si>
  <si>
    <t>Peer Avr: 15.64</t>
  </si>
  <si>
    <t>Peer Avr: 255.42</t>
  </si>
  <si>
    <t>Peer Avr: 34.84</t>
  </si>
  <si>
    <t>Total Debt to Equity - 2015</t>
  </si>
  <si>
    <t>Total Debt to Equity - 2016</t>
  </si>
  <si>
    <t>Total Debt to Equity - 2017</t>
  </si>
  <si>
    <t>Total Debt to Equity - 2018</t>
  </si>
  <si>
    <t>Total Debt to Equity - 2019</t>
  </si>
  <si>
    <t>Total Debt to Equity - 2020</t>
  </si>
  <si>
    <t>Revenue per Employee - 2015</t>
  </si>
  <si>
    <t>Revenue per Employee - 2016</t>
  </si>
  <si>
    <t>Revenue per Employee - 2017</t>
  </si>
  <si>
    <t>Revenue per Employee - 2018</t>
  </si>
  <si>
    <t>Revenue per Employee - 2019</t>
  </si>
  <si>
    <t>Revenue per Employee - 2020</t>
  </si>
  <si>
    <t>Total Asset Turnover - 2015</t>
  </si>
  <si>
    <t>Total Asset Turnover - 2016</t>
  </si>
  <si>
    <t>Total Asset Turnover - 2017</t>
  </si>
  <si>
    <t>Total Asset Turnover - 2018</t>
  </si>
  <si>
    <t>Total Asset Turnover - 2019</t>
  </si>
  <si>
    <t>Total Asset Turnover - 2020</t>
  </si>
  <si>
    <t>ROI % (Operating) - 2015</t>
  </si>
  <si>
    <t>ROI % (Operating) - 2016</t>
  </si>
  <si>
    <t>ROI % (Operating) - 2017</t>
  </si>
  <si>
    <t>ROI % (Operating) - 2018</t>
  </si>
  <si>
    <t>ROI % (Operating) - 2019</t>
  </si>
  <si>
    <t>ROI % (Operating) - 2020</t>
  </si>
  <si>
    <t>ROE % (Net) - 2015</t>
  </si>
  <si>
    <t>ROE % (Net) - 2016</t>
  </si>
  <si>
    <t>ROE % (Net) - 2017</t>
  </si>
  <si>
    <t>ROE % (Net) - 2018</t>
  </si>
  <si>
    <t>ROE % (Net) - 2019</t>
  </si>
  <si>
    <t>ROE % (Net) - 2020</t>
  </si>
  <si>
    <t>ROA % (Net) - 2015</t>
  </si>
  <si>
    <t>ROA % (Net) - 2016</t>
  </si>
  <si>
    <t>ROA % (Net) - 2017</t>
  </si>
  <si>
    <t>ROA % (Net) - 2018</t>
  </si>
  <si>
    <t>ROA % (Net) - 2019</t>
  </si>
  <si>
    <t>ROA % (Net) - 2020</t>
  </si>
  <si>
    <t>Quick Ratio - 2015</t>
  </si>
  <si>
    <t>Quick Ratio - 2016</t>
  </si>
  <si>
    <t>Quick Ratio - 2017</t>
  </si>
  <si>
    <t>Quick Ratio - 2018</t>
  </si>
  <si>
    <t>Quick Ratio - 2019</t>
  </si>
  <si>
    <t>Quick Ratio - 2020</t>
  </si>
  <si>
    <t>Operating Margin % - 2015</t>
  </si>
  <si>
    <t>Operating Margin % - 2016</t>
  </si>
  <si>
    <t>Operating Margin % - 2017</t>
  </si>
  <si>
    <t>Operating Margin % - 2018</t>
  </si>
  <si>
    <t>Operating Margin % - 2019</t>
  </si>
  <si>
    <t>Operating Margin % - 2020</t>
  </si>
  <si>
    <t>Net Profit Margin % - 2015</t>
  </si>
  <si>
    <t>Net Profit Margin % - 2016</t>
  </si>
  <si>
    <t>Net Profit Margin % - 2017</t>
  </si>
  <si>
    <t>Net Profit Margin % - 2018</t>
  </si>
  <si>
    <t>Net Profit Margin % - 2019</t>
  </si>
  <si>
    <t>Net Profit Margin % - 2020</t>
  </si>
  <si>
    <t>Net PPE Turnover - 2015</t>
  </si>
  <si>
    <t>Net PPE Turnover - 2016</t>
  </si>
  <si>
    <t>Net PPE Turnover - 2017</t>
  </si>
  <si>
    <t>Net PPE Turnover - 2018</t>
  </si>
  <si>
    <t>Net PPE Turnover - 2019</t>
  </si>
  <si>
    <t>Net PPE Turnover - 2020</t>
  </si>
  <si>
    <t>Inventory Turnover - 2015</t>
  </si>
  <si>
    <t>Inventory Turnover - 2016</t>
  </si>
  <si>
    <t>Inventory Turnover - 2017</t>
  </si>
  <si>
    <t>Inventory Turnover - 2018</t>
  </si>
  <si>
    <t>Inventory Turnover - 2019</t>
  </si>
  <si>
    <t>Inventory Turnover - 2020</t>
  </si>
  <si>
    <t>Interest Coverage - 2015</t>
  </si>
  <si>
    <t>Interest Coverage - 2016</t>
  </si>
  <si>
    <t>Interest Coverage - 2017</t>
  </si>
  <si>
    <t>Interest Coverage - 2018</t>
  </si>
  <si>
    <t>Interest Coverage - 2019</t>
  </si>
  <si>
    <t>Interest Coverage - 2020</t>
  </si>
  <si>
    <t>Gross Margin % - 2015</t>
  </si>
  <si>
    <t>Gross Margin % - 2016</t>
  </si>
  <si>
    <t>Gross Margin % - 2017</t>
  </si>
  <si>
    <t>Gross Margin % - 2018</t>
  </si>
  <si>
    <t>Gross Margin % - 2019</t>
  </si>
  <si>
    <t>Gross Margin % - 2020</t>
  </si>
  <si>
    <t>EBITDA Margin % - 2015</t>
  </si>
  <si>
    <t>EBITDA Margin % - 2016</t>
  </si>
  <si>
    <t>EBITDA Margin % - 2017</t>
  </si>
  <si>
    <t>EBITDA Margin % - 2018</t>
  </si>
  <si>
    <t>EBITDA Margin % - 2019</t>
  </si>
  <si>
    <t>EBITDA Margin % - 2020</t>
  </si>
  <si>
    <t>Earnings Before Tax Margin % - 2015</t>
  </si>
  <si>
    <t>Earnings Before Tax Margin % - 2016</t>
  </si>
  <si>
    <t>Earnings Before Tax Margin % - 2017</t>
  </si>
  <si>
    <t>Earnings Before Tax Margin % - 2018</t>
  </si>
  <si>
    <t>Earnings Before Tax Margin % - 2019</t>
  </si>
  <si>
    <t>Earnings Before Tax Margin % - 2020</t>
  </si>
  <si>
    <t>Current Ratio - 2015</t>
  </si>
  <si>
    <t>Current Ratio - 2016</t>
  </si>
  <si>
    <t>Current Ratio - 2017</t>
  </si>
  <si>
    <t>Current Ratio - 2018</t>
  </si>
  <si>
    <t>Current Ratio - 2019</t>
  </si>
  <si>
    <t>Current Ratio - 2020</t>
  </si>
  <si>
    <t>Calculated Tax Rate % - 2015</t>
  </si>
  <si>
    <t>Calculated Tax Rate % - 2016</t>
  </si>
  <si>
    <t>Calculated Tax Rate % - 2017</t>
  </si>
  <si>
    <t>Calculated Tax Rate % - 2018</t>
  </si>
  <si>
    <t>Calculated Tax Rate % - 2019</t>
  </si>
  <si>
    <t>Calculated Tax Rate % - 2020</t>
  </si>
  <si>
    <t>Company Name</t>
  </si>
  <si>
    <t xml:space="preserve">* all results are stated in US Dollars </t>
  </si>
  <si>
    <t>Total Revenue - 2015</t>
  </si>
  <si>
    <t>Total Revenue - 2016</t>
  </si>
  <si>
    <t>Total Revenue - 2017</t>
  </si>
  <si>
    <t>Total Revenue - 2018</t>
  </si>
  <si>
    <t>Total Revenue - 2019</t>
  </si>
  <si>
    <t>Total Revenue - 2020</t>
  </si>
  <si>
    <t>Total Liabilities - 2015</t>
  </si>
  <si>
    <t>Total Liabilities - 2016</t>
  </si>
  <si>
    <t>Total Liabilities - 2017</t>
  </si>
  <si>
    <t>Total Liabilities - 2018</t>
  </si>
  <si>
    <t>Total Liabilities - 2019</t>
  </si>
  <si>
    <t>Total Liabilities - 2020</t>
  </si>
  <si>
    <t>Total Assets - 2015</t>
  </si>
  <si>
    <t>Total Assets - 2016</t>
  </si>
  <si>
    <t>Total Assets - 2017</t>
  </si>
  <si>
    <t>Total Assets - 2018</t>
  </si>
  <si>
    <t>Total Assets - 2019</t>
  </si>
  <si>
    <t>Total Assets - 2020</t>
  </si>
  <si>
    <t>Operating Income - 2015</t>
  </si>
  <si>
    <t>Operating Income - 2016</t>
  </si>
  <si>
    <t>Operating Income - 2017</t>
  </si>
  <si>
    <t>Operating Income - 2018</t>
  </si>
  <si>
    <t>Operating Income - 2019</t>
  </si>
  <si>
    <t>Operating Income - 2020</t>
  </si>
  <si>
    <t>Net Property Plant &amp; Equip - 2015</t>
  </si>
  <si>
    <t>Net Property Plant &amp; Equip - 2016</t>
  </si>
  <si>
    <t>Net Property Plant &amp; Equip - 2017</t>
  </si>
  <si>
    <t>Net Property Plant &amp; Equip - 2018</t>
  </si>
  <si>
    <t>Net Property Plant &amp; Equip - 2019</t>
  </si>
  <si>
    <t>Net Property Plant &amp; Equip - 2020</t>
  </si>
  <si>
    <t>Net Income - 2015</t>
  </si>
  <si>
    <t>Net Income - 2016</t>
  </si>
  <si>
    <t>Net Income - 2017</t>
  </si>
  <si>
    <t>Net Income - 2018</t>
  </si>
  <si>
    <t>Net Income - 2019</t>
  </si>
  <si>
    <t>Net Income - 2020</t>
  </si>
  <si>
    <t>Long Term Debt - 2015</t>
  </si>
  <si>
    <t>Long Term Debt - 2016</t>
  </si>
  <si>
    <t>Long Term Debt - 2017</t>
  </si>
  <si>
    <t>Long Term Debt - 2018</t>
  </si>
  <si>
    <t>Long Term Debt - 2019</t>
  </si>
  <si>
    <t>Long Term Debt - 2020</t>
  </si>
  <si>
    <t>Inventories - 2015</t>
  </si>
  <si>
    <t>Inventories - 2016</t>
  </si>
  <si>
    <t>Inventories - 2017</t>
  </si>
  <si>
    <t>Inventories - 2018</t>
  </si>
  <si>
    <t>Inventories - 2019</t>
  </si>
  <si>
    <t>Inventories - 2020</t>
  </si>
  <si>
    <t>EBITDA - 2015</t>
  </si>
  <si>
    <t>EBITDA - 2016</t>
  </si>
  <si>
    <t>EBITDA - 2017</t>
  </si>
  <si>
    <t>EBITDA - 2018</t>
  </si>
  <si>
    <t>EBITDA - 2019</t>
  </si>
  <si>
    <t>EBITDA - 2020</t>
  </si>
  <si>
    <t>Earnings Before Tax - 2015</t>
  </si>
  <si>
    <t>Earnings Before Tax - 2016</t>
  </si>
  <si>
    <t>Earnings Before Tax - 2017</t>
  </si>
  <si>
    <t>Earnings Before Tax - 2018</t>
  </si>
  <si>
    <t>Earnings Before Tax - 2019</t>
  </si>
  <si>
    <t>Earnings Before Tax - 2020</t>
  </si>
  <si>
    <t>Current Liabilities - 2015</t>
  </si>
  <si>
    <t>Current Liabilities - 2016</t>
  </si>
  <si>
    <t>Current Liabilities - 2017</t>
  </si>
  <si>
    <t>Current Liabilities - 2018</t>
  </si>
  <si>
    <t>Current Liabilities - 2019</t>
  </si>
  <si>
    <t>Current Liabilities - 2020</t>
  </si>
  <si>
    <t>Current Assets - 2015</t>
  </si>
  <si>
    <t>Current Assets - 2016</t>
  </si>
  <si>
    <t>Current Assets - 2017</t>
  </si>
  <si>
    <t>Current Assets - 2018</t>
  </si>
  <si>
    <t>Current Assets - 2019</t>
  </si>
  <si>
    <t>Current Assets - 2020</t>
  </si>
  <si>
    <t>Cash Flow from Operations - 2015</t>
  </si>
  <si>
    <t>Cash Flow from Operations - 2016</t>
  </si>
  <si>
    <t>Cash Flow from Operations - 2017</t>
  </si>
  <si>
    <t>Cash Flow from Operations - 2018</t>
  </si>
  <si>
    <t>Cash Flow from Operations - 2019</t>
  </si>
  <si>
    <t>Cash Flow from Operations - 2020</t>
  </si>
  <si>
    <t>Program Rights (Starz Revenue) Turnover</t>
  </si>
  <si>
    <t>Blue = MEDIAN calculations</t>
  </si>
  <si>
    <t>Cash flow from operations</t>
  </si>
  <si>
    <t>Current Assets</t>
  </si>
  <si>
    <t>Current Liabilities</t>
  </si>
  <si>
    <t>Inventories</t>
  </si>
  <si>
    <t>Long-term debt</t>
  </si>
  <si>
    <t>Net Income</t>
  </si>
  <si>
    <t>Net Property, Plant, Equipment</t>
  </si>
  <si>
    <t>Operating Income</t>
  </si>
  <si>
    <t>Total Assets</t>
  </si>
  <si>
    <t>Total Liabilities</t>
  </si>
  <si>
    <t>Total Revenue</t>
  </si>
  <si>
    <t>Mostly up to Q3</t>
  </si>
  <si>
    <t>ALL # IN THOUSANDS</t>
  </si>
  <si>
    <t>Film/TV Investment + Program Turnover</t>
  </si>
  <si>
    <t>Amortization of Film/TV</t>
  </si>
  <si>
    <t>Additional Financial Data for calculations</t>
  </si>
  <si>
    <t>Average Growth</t>
  </si>
  <si>
    <t>&lt;---- IMPORTANT</t>
  </si>
  <si>
    <t>EBITDA Interest Coverage</t>
  </si>
  <si>
    <t>EBITDA (including direct amortization exp.)</t>
  </si>
  <si>
    <t>EBITDA Profit Margin (w/ direct amort)</t>
  </si>
  <si>
    <t>EBITDA Profit Margin (omit direct amort)</t>
  </si>
  <si>
    <t>Mergent Cash Flow Statement</t>
  </si>
  <si>
    <t>Cash flow from investments</t>
  </si>
  <si>
    <t>Cash flow from financing</t>
  </si>
  <si>
    <t>Change in cash</t>
  </si>
  <si>
    <t>Effects of exchange rate changes on cash</t>
  </si>
  <si>
    <t>Increase (decrease) in cash</t>
  </si>
  <si>
    <t>Capital spending per share</t>
  </si>
  <si>
    <t>Free cash flow per share</t>
  </si>
  <si>
    <t>Net CF per share</t>
  </si>
  <si>
    <t>CFPS (w/out direct amort)</t>
  </si>
  <si>
    <t>Summary Data:</t>
  </si>
  <si>
    <t>AFN</t>
  </si>
  <si>
    <t>TFN</t>
  </si>
  <si>
    <t>IFG</t>
  </si>
  <si>
    <t>g*</t>
  </si>
  <si>
    <t>Additional Funds Needed Equation</t>
  </si>
  <si>
    <t>Additional</t>
  </si>
  <si>
    <t>Required</t>
  </si>
  <si>
    <t>Increase in</t>
  </si>
  <si>
    <t>funds</t>
  </si>
  <si>
    <t>=</t>
  </si>
  <si>
    <t>increase</t>
  </si>
  <si>
    <t>spontaneous</t>
  </si>
  <si>
    <t>retained</t>
  </si>
  <si>
    <t>needed</t>
  </si>
  <si>
    <t>in assets</t>
  </si>
  <si>
    <t>liabilities</t>
  </si>
  <si>
    <t>earnings</t>
  </si>
  <si>
    <t xml:space="preserve">AFN </t>
  </si>
  <si>
    <r>
      <t>(Ao / So)</t>
    </r>
    <r>
      <rPr>
        <sz val="11"/>
        <color theme="1"/>
        <rFont val="Calibri"/>
        <family val="2"/>
      </rPr>
      <t>ΔS</t>
    </r>
  </si>
  <si>
    <r>
      <t>(Lo/So)</t>
    </r>
    <r>
      <rPr>
        <sz val="11"/>
        <color theme="1"/>
        <rFont val="Calibri"/>
        <family val="2"/>
      </rPr>
      <t>ΔS</t>
    </r>
  </si>
  <si>
    <t>M x So(1+g) x RR</t>
  </si>
  <si>
    <t>Required increase in assets</t>
  </si>
  <si>
    <t>/</t>
  </si>
  <si>
    <t>x</t>
  </si>
  <si>
    <t>Increase in spontaneous liabilities</t>
  </si>
  <si>
    <t>Lo</t>
  </si>
  <si>
    <t>Increase in retained earnings</t>
  </si>
  <si>
    <t>M</t>
  </si>
  <si>
    <t>RR calculation</t>
  </si>
  <si>
    <t>RR</t>
  </si>
  <si>
    <t>or</t>
  </si>
  <si>
    <t>1      -</t>
  </si>
  <si>
    <t>^1-payout ratio; POR = dividends / NI</t>
  </si>
  <si>
    <t>So (1+g)</t>
  </si>
  <si>
    <t>Additional Funds Needed</t>
  </si>
  <si>
    <t>Total Funds Needed Equation</t>
  </si>
  <si>
    <t>Total</t>
  </si>
  <si>
    <t>assets</t>
  </si>
  <si>
    <t>+</t>
  </si>
  <si>
    <t>Depr. t+1</t>
  </si>
  <si>
    <t>Increase in assets</t>
  </si>
  <si>
    <t xml:space="preserve">Including depreciation </t>
  </si>
  <si>
    <t>(Ao / So)ΔS + Depr. t+1</t>
  </si>
  <si>
    <t>Internal Funds Generated Equation</t>
  </si>
  <si>
    <t>Internal Funds</t>
  </si>
  <si>
    <t>Generated</t>
  </si>
  <si>
    <t>Change in retained earnings</t>
  </si>
  <si>
    <t>AFN = TFN - IFG</t>
  </si>
  <si>
    <t>Sustainable Growth Rate Calculation</t>
  </si>
  <si>
    <t>ROE</t>
  </si>
  <si>
    <t>M (1-POR)</t>
  </si>
  <si>
    <t>*</t>
  </si>
  <si>
    <t>So</t>
  </si>
  <si>
    <t>Ao</t>
  </si>
  <si>
    <t>M (1-POR) * So</t>
  </si>
  <si>
    <t>COMPANY:</t>
  </si>
  <si>
    <t>D1</t>
  </si>
  <si>
    <t>D2</t>
  </si>
  <si>
    <t>D5</t>
  </si>
  <si>
    <t>2023 - 2025</t>
  </si>
  <si>
    <t>Total years between</t>
  </si>
  <si>
    <t>DIV</t>
  </si>
  <si>
    <t>Growth rate in Dividend</t>
  </si>
  <si>
    <t>Price</t>
  </si>
  <si>
    <t>VL Total</t>
  </si>
  <si>
    <t>VL Expected rate of return</t>
  </si>
  <si>
    <t>D3</t>
  </si>
  <si>
    <t>D4</t>
  </si>
  <si>
    <t>Beta (from VL)</t>
  </si>
  <si>
    <t>P/FCF</t>
  </si>
  <si>
    <t>Book Value</t>
  </si>
  <si>
    <t>FCF/BV</t>
  </si>
  <si>
    <t>FCF 5 year sum</t>
  </si>
  <si>
    <t>xCF (value line)</t>
  </si>
  <si>
    <t>Year 5 CF</t>
  </si>
  <si>
    <t>VL Payback Percentage</t>
  </si>
  <si>
    <t>Year 5 CF Price</t>
  </si>
  <si>
    <t>Year 5 Low</t>
  </si>
  <si>
    <t>Year 5 High</t>
  </si>
  <si>
    <t>Year 5 Hi-Lo avg</t>
  </si>
  <si>
    <t>Year 5 P/E</t>
  </si>
  <si>
    <t>Year 5 EPS</t>
  </si>
  <si>
    <t>Year 5 Price</t>
  </si>
  <si>
    <t>Average Year 4 Price</t>
  </si>
  <si>
    <t>"Cash flow" 0</t>
  </si>
  <si>
    <t>Cap'l Sp. 0</t>
  </si>
  <si>
    <t>FCF 0</t>
  </si>
  <si>
    <t>"Cash flow" 1</t>
  </si>
  <si>
    <t>Cap'l Sp. 1</t>
  </si>
  <si>
    <t>FCF 1</t>
  </si>
  <si>
    <t>"Cash flow" 2</t>
  </si>
  <si>
    <t>Cap'l Sp. 2</t>
  </si>
  <si>
    <t>FCF 2</t>
  </si>
  <si>
    <t>"Cash flow" 3</t>
  </si>
  <si>
    <t>Cap'l Sp. 3</t>
  </si>
  <si>
    <t>FCF 3</t>
  </si>
  <si>
    <t>"Cash flow" 4</t>
  </si>
  <si>
    <t>Cap'l Sp. 4</t>
  </si>
  <si>
    <t>FCF 4</t>
  </si>
  <si>
    <t>"Cash flow" 5</t>
  </si>
  <si>
    <t>Cap'l Sp. 5</t>
  </si>
  <si>
    <t>FCF 5</t>
  </si>
  <si>
    <t>LGF.A</t>
  </si>
  <si>
    <t>Cost of Equity</t>
  </si>
  <si>
    <t>Summary:</t>
  </si>
  <si>
    <t>Constant Growth Stock Model Ks</t>
  </si>
  <si>
    <t>CAPM Ks</t>
  </si>
  <si>
    <t>Constant Growth Stock Model</t>
  </si>
  <si>
    <t>Po</t>
  </si>
  <si>
    <t>D1 / Ks-g</t>
  </si>
  <si>
    <t>Ks</t>
  </si>
  <si>
    <t>D1 / Po (1-F)      + g</t>
  </si>
  <si>
    <t>F</t>
  </si>
  <si>
    <t>g</t>
  </si>
  <si>
    <t>g calculation (historical EPS growth rate)</t>
  </si>
  <si>
    <t>(1-F)</t>
  </si>
  <si>
    <t>+g</t>
  </si>
  <si>
    <t>CAPM</t>
  </si>
  <si>
    <t>Km</t>
  </si>
  <si>
    <t>Km calculation</t>
  </si>
  <si>
    <t>D1 (expected dividend yield S&amp;P 500)</t>
  </si>
  <si>
    <t>Expected Market Return</t>
  </si>
  <si>
    <t>MRP calculation</t>
  </si>
  <si>
    <t>Rm</t>
  </si>
  <si>
    <t>- Rf</t>
  </si>
  <si>
    <t>MRP</t>
  </si>
  <si>
    <t>Capital Asset Pricing Model Calculation</t>
  </si>
  <si>
    <t>Rf</t>
  </si>
  <si>
    <t>Beta</t>
  </si>
  <si>
    <t>(Km - Krf)</t>
  </si>
  <si>
    <t>Ticker</t>
  </si>
  <si>
    <t>CAPM Return</t>
  </si>
  <si>
    <t>VL expected return</t>
  </si>
  <si>
    <t>Expected Alpha</t>
  </si>
  <si>
    <t>Weighted Average Cost of Capital</t>
  </si>
  <si>
    <t>Kd</t>
  </si>
  <si>
    <t>Kp</t>
  </si>
  <si>
    <t>T (from value line)</t>
  </si>
  <si>
    <t>Shares</t>
  </si>
  <si>
    <t>Value</t>
  </si>
  <si>
    <t>Market Value of equity</t>
  </si>
  <si>
    <t>Book Value of interst bearing debt</t>
  </si>
  <si>
    <t>Total Value</t>
  </si>
  <si>
    <t>Wd</t>
  </si>
  <si>
    <t>(1-T)</t>
  </si>
  <si>
    <t>Ws</t>
  </si>
  <si>
    <t>WACC</t>
  </si>
  <si>
    <t>Current Price (as of 2/9/2021)</t>
  </si>
  <si>
    <t>(flotation costs)</t>
  </si>
  <si>
    <t>Krf (as of 2/9/21)</t>
  </si>
  <si>
    <t>LGF</t>
  </si>
  <si>
    <t>1-.21</t>
  </si>
  <si>
    <t>Capital Expenditures</t>
  </si>
  <si>
    <t>Capital Spendering Per Share</t>
  </si>
  <si>
    <t>CF (w/out direct amort)</t>
  </si>
  <si>
    <t>CF (direct amort)</t>
  </si>
  <si>
    <t xml:space="preserve"> CAGR</t>
  </si>
  <si>
    <t>Avg.</t>
  </si>
  <si>
    <t>Cash Flow Generation</t>
  </si>
  <si>
    <t>CFPS (direct amort)</t>
  </si>
  <si>
    <t>Operating CF per share</t>
  </si>
  <si>
    <t xml:space="preserve">Cash flow per share </t>
  </si>
  <si>
    <t>CF per share (w/out direct amort)</t>
  </si>
  <si>
    <t>CAGR of FCF</t>
  </si>
  <si>
    <t>$ change</t>
  </si>
  <si>
    <t>% change</t>
  </si>
  <si>
    <t xml:space="preserve">Lions Gate </t>
  </si>
  <si>
    <t>Sources and Uses Statement</t>
  </si>
  <si>
    <t>For the Year Ending March 31, 2020</t>
  </si>
  <si>
    <t>Sources</t>
  </si>
  <si>
    <t>Uses</t>
  </si>
  <si>
    <t xml:space="preserve">  Cash &amp; cash equivalents</t>
  </si>
  <si>
    <t xml:space="preserve">  Program rights</t>
  </si>
  <si>
    <t xml:space="preserve">  Prepaid expenses &amp; other current assets (other assets)</t>
  </si>
  <si>
    <t xml:space="preserve">  Product inventory (other assets)</t>
  </si>
  <si>
    <t>Long-term Assets</t>
  </si>
  <si>
    <t>Long-term Liabilities</t>
  </si>
  <si>
    <t>Equity</t>
  </si>
  <si>
    <t>Common shares: including A&amp;B shares</t>
  </si>
  <si>
    <t>Total Sources and Uses</t>
  </si>
  <si>
    <t xml:space="preserve">  Property &amp; equipment, net</t>
  </si>
  <si>
    <t xml:space="preserve">  Investments</t>
  </si>
  <si>
    <t xml:space="preserve">  Intangible assets</t>
  </si>
  <si>
    <t xml:space="preserve">  Prepaid expenses &amp; other assets (Other LT assets)</t>
  </si>
  <si>
    <t xml:space="preserve">  Accounts receivable (Other LT assets)</t>
  </si>
  <si>
    <t xml:space="preserve">  Tax credits receivable (Other LT assets)</t>
  </si>
  <si>
    <t xml:space="preserve">  Operating lease right-of-use assets (Other LT assets)</t>
  </si>
  <si>
    <t xml:space="preserve">  Deferred tax assets</t>
  </si>
  <si>
    <t xml:space="preserve">  Goodwill</t>
  </si>
  <si>
    <t>Matrix</t>
  </si>
  <si>
    <t>Increase</t>
  </si>
  <si>
    <t>Decrease</t>
  </si>
  <si>
    <t>use</t>
  </si>
  <si>
    <t>source</t>
  </si>
  <si>
    <t xml:space="preserve">  Investment in film/tv programs &amp; program rights</t>
  </si>
  <si>
    <t xml:space="preserve">  Tax credits receivable (current other assets)</t>
  </si>
  <si>
    <t>CA</t>
  </si>
  <si>
    <t>LTA</t>
  </si>
  <si>
    <t>CL</t>
  </si>
  <si>
    <t>LT-L</t>
  </si>
  <si>
    <t>E</t>
  </si>
  <si>
    <t>FPBO</t>
  </si>
  <si>
    <t>NFA</t>
  </si>
  <si>
    <t>LT</t>
  </si>
  <si>
    <t>Investment</t>
  </si>
  <si>
    <t>LTA (w/out nfa or inv)</t>
  </si>
  <si>
    <t>redeemable noncontrolling interest</t>
  </si>
  <si>
    <t>"noncontrolling int."</t>
  </si>
  <si>
    <t>change in</t>
  </si>
  <si>
    <t>uses</t>
  </si>
  <si>
    <t xml:space="preserve">Net source CA = </t>
  </si>
  <si>
    <t>Net Use</t>
  </si>
  <si>
    <t>Net source LTA</t>
  </si>
  <si>
    <t>Net use CL</t>
  </si>
  <si>
    <t>Net use LT-L</t>
  </si>
  <si>
    <t>Net use - Equity</t>
  </si>
  <si>
    <t>^utilizing net figures which does not indicate total sources and uses</t>
  </si>
  <si>
    <t>Check Figures and Summary</t>
  </si>
  <si>
    <t>Sources and Uses Allocation</t>
  </si>
  <si>
    <t>Source</t>
  </si>
  <si>
    <t>Use</t>
  </si>
  <si>
    <t>Prepaid</t>
  </si>
  <si>
    <t xml:space="preserve">  Redeemable noncontrolling interest adjustments to redemption value</t>
  </si>
  <si>
    <t xml:space="preserve"> Funds provided by operations</t>
  </si>
  <si>
    <t>Common Shares</t>
  </si>
  <si>
    <t>Com. Shares</t>
  </si>
  <si>
    <t>Program Rights</t>
  </si>
  <si>
    <t>LT prepaid</t>
  </si>
  <si>
    <t>List of various interest rates</t>
  </si>
  <si>
    <t>Investment in Film/TV (asset)</t>
  </si>
  <si>
    <t>LGF Market share estimate</t>
  </si>
  <si>
    <t>Estimated Funds Invested in Film/TV per year</t>
  </si>
  <si>
    <t>Cost of Debt (estimated YTM)</t>
  </si>
  <si>
    <t xml:space="preserve">or </t>
  </si>
  <si>
    <t>Available YTM bond prices</t>
  </si>
  <si>
    <t>+g (historical average growth in dividends)</t>
  </si>
  <si>
    <t>(6.54% - 1.15%)</t>
  </si>
  <si>
    <t>&lt;--- non-VL #'s</t>
  </si>
  <si>
    <t>Tax cr. receivable</t>
  </si>
  <si>
    <t>Asset</t>
  </si>
  <si>
    <t>Liability</t>
  </si>
  <si>
    <t>Intangible Assets</t>
  </si>
  <si>
    <t>Residuals</t>
  </si>
  <si>
    <t>Inventory</t>
  </si>
  <si>
    <t>Ot. Liabilities</t>
  </si>
  <si>
    <t>redeem non-controlling interest</t>
  </si>
  <si>
    <t>Media Networks Revenue</t>
  </si>
  <si>
    <t>MGM Media Networks turnover</t>
  </si>
  <si>
    <t>MGM Film/TV Investment</t>
  </si>
  <si>
    <t>MGM revenues</t>
  </si>
  <si>
    <t>MGM's Film/TV Turnover</t>
  </si>
  <si>
    <t>Days Film/TV - Program Rights Outstanding</t>
  </si>
  <si>
    <t>Days Payables and Film/TV Loans Outstanding</t>
  </si>
  <si>
    <t>Investment Cash Conversion</t>
  </si>
  <si>
    <t>"Long-term" Cash Conversion Cycle</t>
  </si>
  <si>
    <t>Capital requirement ratio (CR)</t>
  </si>
  <si>
    <t>Operating profitability ratio (OP)</t>
  </si>
  <si>
    <t xml:space="preserve">MGM </t>
  </si>
  <si>
    <t>Total asset turnover</t>
  </si>
  <si>
    <t>Debt ratio</t>
  </si>
  <si>
    <t>Interest Expense</t>
  </si>
  <si>
    <t>Interest bearing debt</t>
  </si>
  <si>
    <t>Average Interest rate</t>
  </si>
  <si>
    <t>Debt ratio (interest-bearing)</t>
  </si>
  <si>
    <t>Total Equity</t>
  </si>
  <si>
    <t>Debt to equity</t>
  </si>
  <si>
    <t>Interest Coverage</t>
  </si>
  <si>
    <t>Volume</t>
  </si>
  <si>
    <t>Adj Close</t>
  </si>
  <si>
    <t>Close</t>
  </si>
  <si>
    <t>Low</t>
  </si>
  <si>
    <t>High</t>
  </si>
  <si>
    <t>Open</t>
  </si>
  <si>
    <t>Date</t>
  </si>
  <si>
    <t>Average LGF.A Market Price (monthly)</t>
  </si>
  <si>
    <t>Avg. LGF.A Market Capitalization</t>
  </si>
  <si>
    <t>Direct Expenses</t>
  </si>
  <si>
    <t>Sales</t>
  </si>
  <si>
    <t>Gross profit</t>
  </si>
  <si>
    <t>Amortization of film/tv</t>
  </si>
  <si>
    <t>% of amort of direct</t>
  </si>
  <si>
    <t>avg</t>
  </si>
  <si>
    <t>Gross margin</t>
  </si>
  <si>
    <t>st dev</t>
  </si>
  <si>
    <t>Direct expenses w/out amort</t>
  </si>
  <si>
    <t>Sustainable Growth Rate (equity)</t>
  </si>
  <si>
    <t>Marketing effectiveness ratio</t>
  </si>
  <si>
    <t>6.375% senior note</t>
  </si>
  <si>
    <t>5.875% senior note</t>
  </si>
  <si>
    <t>Film production loans</t>
  </si>
  <si>
    <t>Revolving Credit</t>
  </si>
  <si>
    <t xml:space="preserve">Operating lease </t>
  </si>
  <si>
    <t>Finance lease</t>
  </si>
  <si>
    <t>Term Loan A</t>
  </si>
  <si>
    <t>Term Loan B</t>
  </si>
  <si>
    <t>LIBOR + 1.75%</t>
  </si>
  <si>
    <t>LIBOR + 2.25%</t>
  </si>
  <si>
    <t>Maturity</t>
  </si>
  <si>
    <t>Quarterly</t>
  </si>
  <si>
    <t>PMT's</t>
  </si>
  <si>
    <t>Semi-annual</t>
  </si>
  <si>
    <t>LIBOR: 2.49%-2.99%</t>
  </si>
  <si>
    <t>continual</t>
  </si>
  <si>
    <t>Carrying value</t>
  </si>
  <si>
    <t>Obligations and Commitments</t>
  </si>
  <si>
    <t>Interest Expense estimated</t>
  </si>
  <si>
    <t>Interest</t>
  </si>
  <si>
    <t xml:space="preserve">Effective % </t>
  </si>
  <si>
    <t>Debt information</t>
  </si>
  <si>
    <t>Film &amp; other prod. Loans obligations</t>
  </si>
  <si>
    <t>Other contractual obligations</t>
  </si>
  <si>
    <t>Total Debt Expenditures/Repayment</t>
  </si>
  <si>
    <t>Total liability payments</t>
  </si>
  <si>
    <t>Total Obligations/Commitments</t>
  </si>
  <si>
    <t>Debt and Expected Interest - PMTs</t>
  </si>
  <si>
    <t>Assumes no additional future financing</t>
  </si>
  <si>
    <t>average market price</t>
  </si>
  <si>
    <t>MP Segment Profit Margin</t>
  </si>
  <si>
    <t>TV Segment Profit Margin</t>
  </si>
  <si>
    <t>MN Segment Profit Margin</t>
  </si>
  <si>
    <t>Altman's Z-score bankruptcy prediction formula</t>
  </si>
  <si>
    <t>&lt;2.7 = High 2-year bankruptcy risk</t>
  </si>
  <si>
    <t>&lt;1.8 = High short-term bankruptcy risk</t>
  </si>
  <si>
    <t>03/31/2021</t>
  </si>
  <si>
    <t>Gain on sale of Pantaya</t>
  </si>
  <si>
    <t>2019 to 2020</t>
  </si>
  <si>
    <t xml:space="preserve">  Cash consideration receivable for Pantaya</t>
  </si>
  <si>
    <t xml:space="preserve">  Amortization of debt discount &amp; financing costs &amp; other non-cash interest</t>
  </si>
  <si>
    <t xml:space="preserve">  Gain (loss) on sale of Pantaya</t>
  </si>
  <si>
    <t>Production tax credit facility advances</t>
  </si>
  <si>
    <t>Interest rate swap settlement payments</t>
  </si>
  <si>
    <t>Net increase (decrease), change in cash &amp; cash equivalents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</si>
</sst>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00"/>
    <numFmt numFmtId="166" formatCode="_(&quot;$&quot;* #,##0_);_(&quot;$&quot;* \(#,##0\);_(&quot;$&quot;* &quot;-&quot;??_);_(@_)"/>
    <numFmt numFmtId="167" formatCode="0.0000"/>
    <numFmt numFmtId="168" formatCode="0.0000%"/>
    <numFmt numFmtId="169" formatCode="_(&quot;$&quot;* #,##0_);_(&quot;$&quot;* \(#,##0\);_(&quot;$&quot;* &quot;-&quot;????_);_(@_)"/>
    <numFmt numFmtId="170" formatCode="0.000%"/>
    <numFmt numFmtId="171" formatCode="0.0"/>
  </numFmts>
  <fonts count="27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16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i/>
      <sz val="10"/>
      <color rgb="FF000000"/>
      <name val="Arial"/>
      <family val="2"/>
    </font>
    <font>
      <b/>
      <sz val="15"/>
      <color rgb="FF000000"/>
      <name val="Calibri"/>
      <family val="2"/>
    </font>
    <font>
      <sz val="10"/>
      <color rgb="FF000000"/>
      <name val="Arial"/>
      <family val="2"/>
    </font>
    <font>
      <i/>
      <sz val="10"/>
      <color rgb="FF000000"/>
      <name val="Arial"/>
      <family val="2"/>
    </font>
    <font>
      <b/>
      <sz val="11"/>
      <color rgb="FF000000"/>
      <name val="Arial"/>
      <family val="2"/>
    </font>
    <font>
      <b/>
      <sz val="14"/>
      <color rgb="FF000000"/>
      <name val="Arial"/>
      <family val="2"/>
    </font>
    <font>
      <sz val="10"/>
      <color rgb="FF0070C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3"/>
      <color theme="1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b/>
      <sz val="10"/>
      <color rgb="FF000000"/>
      <name val="Arial"/>
    </font>
    <font>
      <sz val="8"/>
      <name val="Arial"/>
    </font>
  </fonts>
  <fills count="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</cellStyleXfs>
  <cellXfs count="292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vertical="top"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 vertical="top"/>
    </xf>
    <xf numFmtId="0" fontId="7" fillId="0" borderId="0" xfId="0" applyFont="1" applyAlignment="1">
      <alignment horizontal="right" vertical="top" wrapText="1"/>
    </xf>
    <xf numFmtId="0" fontId="0" fillId="0" borderId="0" xfId="0" applyAlignment="1">
      <alignment horizontal="left"/>
    </xf>
    <xf numFmtId="1" fontId="0" fillId="0" borderId="0" xfId="0" applyNumberFormat="1"/>
    <xf numFmtId="0" fontId="0" fillId="0" borderId="0" xfId="0" applyAlignment="1">
      <alignment horizontal="right"/>
    </xf>
    <xf numFmtId="2" fontId="0" fillId="0" borderId="0" xfId="0" applyNumberFormat="1"/>
    <xf numFmtId="44" fontId="0" fillId="0" borderId="0" xfId="1" applyFont="1"/>
    <xf numFmtId="44" fontId="0" fillId="0" borderId="0" xfId="1" applyFont="1" applyAlignment="1">
      <alignment horizontal="right"/>
    </xf>
    <xf numFmtId="10" fontId="0" fillId="0" borderId="0" xfId="2" applyNumberFormat="1" applyFont="1"/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44" fontId="0" fillId="0" borderId="1" xfId="1" applyFont="1" applyBorder="1"/>
    <xf numFmtId="44" fontId="0" fillId="0" borderId="1" xfId="1" applyFont="1" applyBorder="1" applyAlignment="1">
      <alignment horizontal="right"/>
    </xf>
    <xf numFmtId="44" fontId="0" fillId="0" borderId="2" xfId="1" applyFont="1" applyBorder="1"/>
    <xf numFmtId="44" fontId="0" fillId="0" borderId="0" xfId="0" applyNumberFormat="1" applyAlignment="1">
      <alignment horizontal="left"/>
    </xf>
    <xf numFmtId="44" fontId="0" fillId="0" borderId="0" xfId="2" applyNumberFormat="1" applyFont="1"/>
    <xf numFmtId="44" fontId="0" fillId="0" borderId="3" xfId="1" applyFont="1" applyBorder="1"/>
    <xf numFmtId="44" fontId="0" fillId="0" borderId="4" xfId="1" applyFont="1" applyBorder="1"/>
    <xf numFmtId="44" fontId="0" fillId="0" borderId="5" xfId="1" applyFont="1" applyBorder="1"/>
    <xf numFmtId="44" fontId="0" fillId="0" borderId="6" xfId="1" applyFont="1" applyBorder="1"/>
    <xf numFmtId="44" fontId="0" fillId="0" borderId="7" xfId="1" applyFont="1" applyBorder="1"/>
    <xf numFmtId="44" fontId="0" fillId="0" borderId="8" xfId="1" applyFont="1" applyBorder="1"/>
    <xf numFmtId="0" fontId="10" fillId="0" borderId="9" xfId="0" applyFont="1" applyBorder="1"/>
    <xf numFmtId="10" fontId="0" fillId="0" borderId="9" xfId="2" applyNumberFormat="1" applyFont="1" applyBorder="1"/>
    <xf numFmtId="10" fontId="0" fillId="0" borderId="0" xfId="0" applyNumberFormat="1"/>
    <xf numFmtId="10" fontId="0" fillId="0" borderId="9" xfId="0" applyNumberFormat="1" applyBorder="1"/>
    <xf numFmtId="0" fontId="12" fillId="0" borderId="0" xfId="0" applyFont="1" applyAlignment="1">
      <alignment horizontal="center"/>
    </xf>
    <xf numFmtId="0" fontId="8" fillId="0" borderId="0" xfId="0" applyFont="1"/>
    <xf numFmtId="0" fontId="7" fillId="0" borderId="0" xfId="0" applyFont="1"/>
    <xf numFmtId="164" fontId="0" fillId="0" borderId="0" xfId="3" applyNumberFormat="1" applyFont="1"/>
    <xf numFmtId="44" fontId="0" fillId="0" borderId="0" xfId="0" applyNumberFormat="1"/>
    <xf numFmtId="0" fontId="8" fillId="0" borderId="9" xfId="0" applyFont="1" applyFill="1" applyBorder="1"/>
    <xf numFmtId="0" fontId="10" fillId="0" borderId="0" xfId="0" applyFont="1" applyBorder="1"/>
    <xf numFmtId="10" fontId="0" fillId="0" borderId="0" xfId="2" applyNumberFormat="1" applyFont="1" applyBorder="1"/>
    <xf numFmtId="10" fontId="0" fillId="0" borderId="0" xfId="0" applyNumberFormat="1" applyBorder="1"/>
    <xf numFmtId="44" fontId="8" fillId="0" borderId="0" xfId="1" applyFont="1" applyAlignment="1">
      <alignment horizontal="right"/>
    </xf>
    <xf numFmtId="0" fontId="8" fillId="0" borderId="0" xfId="0" applyFont="1" applyAlignment="1">
      <alignment horizontal="left"/>
    </xf>
    <xf numFmtId="44" fontId="8" fillId="0" borderId="1" xfId="1" applyFont="1" applyBorder="1" applyAlignment="1">
      <alignment horizontal="right"/>
    </xf>
    <xf numFmtId="0" fontId="0" fillId="0" borderId="0" xfId="0" applyFont="1" applyAlignment="1">
      <alignment horizontal="left"/>
    </xf>
    <xf numFmtId="44" fontId="0" fillId="0" borderId="10" xfId="0" applyNumberFormat="1" applyBorder="1"/>
    <xf numFmtId="44" fontId="0" fillId="0" borderId="11" xfId="1" applyFont="1" applyBorder="1"/>
    <xf numFmtId="0" fontId="14" fillId="0" borderId="0" xfId="0" applyFont="1" applyAlignment="1">
      <alignment horizontal="left"/>
    </xf>
    <xf numFmtId="0" fontId="11" fillId="0" borderId="0" xfId="0" applyFont="1" applyAlignment="1">
      <alignment horizontal="left" vertical="top"/>
    </xf>
    <xf numFmtId="0" fontId="7" fillId="0" borderId="0" xfId="0" applyFont="1" applyAlignment="1">
      <alignment horizontal="left"/>
    </xf>
    <xf numFmtId="0" fontId="8" fillId="0" borderId="9" xfId="0" applyFont="1" applyBorder="1"/>
    <xf numFmtId="0" fontId="0" fillId="0" borderId="9" xfId="0" applyBorder="1"/>
    <xf numFmtId="2" fontId="0" fillId="0" borderId="9" xfId="2" applyNumberFormat="1" applyFont="1" applyBorder="1"/>
    <xf numFmtId="2" fontId="0" fillId="0" borderId="9" xfId="0" applyNumberFormat="1" applyBorder="1"/>
    <xf numFmtId="44" fontId="8" fillId="0" borderId="0" xfId="2" applyNumberFormat="1" applyFont="1"/>
    <xf numFmtId="0" fontId="0" fillId="0" borderId="0" xfId="2" applyNumberFormat="1" applyFont="1"/>
    <xf numFmtId="165" fontId="0" fillId="0" borderId="9" xfId="0" applyNumberFormat="1" applyBorder="1"/>
    <xf numFmtId="10" fontId="8" fillId="0" borderId="0" xfId="2" applyNumberFormat="1" applyFont="1"/>
    <xf numFmtId="44" fontId="8" fillId="0" borderId="0" xfId="0" applyNumberFormat="1" applyFont="1"/>
    <xf numFmtId="10" fontId="0" fillId="0" borderId="1" xfId="2" applyNumberFormat="1" applyFont="1" applyBorder="1"/>
    <xf numFmtId="0" fontId="8" fillId="0" borderId="0" xfId="0" applyFont="1" applyAlignment="1">
      <alignment horizontal="center"/>
    </xf>
    <xf numFmtId="10" fontId="8" fillId="0" borderId="0" xfId="2" applyNumberFormat="1" applyFont="1" applyAlignment="1">
      <alignment horizontal="center"/>
    </xf>
    <xf numFmtId="10" fontId="0" fillId="0" borderId="2" xfId="2" applyNumberFormat="1" applyFont="1" applyBorder="1"/>
    <xf numFmtId="0" fontId="7" fillId="0" borderId="0" xfId="0" applyFont="1" applyAlignment="1">
      <alignment horizontal="center"/>
    </xf>
    <xf numFmtId="44" fontId="0" fillId="0" borderId="1" xfId="2" applyNumberFormat="1" applyFont="1" applyBorder="1"/>
    <xf numFmtId="0" fontId="0" fillId="0" borderId="1" xfId="0" applyBorder="1"/>
    <xf numFmtId="10" fontId="0" fillId="0" borderId="3" xfId="2" applyNumberFormat="1" applyFont="1" applyBorder="1"/>
    <xf numFmtId="10" fontId="0" fillId="0" borderId="4" xfId="2" applyNumberFormat="1" applyFont="1" applyBorder="1"/>
    <xf numFmtId="10" fontId="0" fillId="0" borderId="5" xfId="2" applyNumberFormat="1" applyFont="1" applyBorder="1"/>
    <xf numFmtId="10" fontId="0" fillId="0" borderId="6" xfId="2" applyNumberFormat="1" applyFont="1" applyBorder="1"/>
    <xf numFmtId="10" fontId="0" fillId="0" borderId="7" xfId="2" applyNumberFormat="1" applyFont="1" applyBorder="1"/>
    <xf numFmtId="10" fontId="0" fillId="0" borderId="8" xfId="2" applyNumberFormat="1" applyFont="1" applyBorder="1"/>
    <xf numFmtId="10" fontId="0" fillId="0" borderId="12" xfId="0" applyNumberFormat="1" applyBorder="1"/>
    <xf numFmtId="10" fontId="0" fillId="0" borderId="13" xfId="0" applyNumberFormat="1" applyBorder="1"/>
    <xf numFmtId="10" fontId="0" fillId="0" borderId="14" xfId="0" applyNumberFormat="1" applyBorder="1"/>
    <xf numFmtId="0" fontId="7" fillId="0" borderId="0" xfId="0" applyFont="1" applyAlignment="1">
      <alignment horizontal="center" vertical="top"/>
    </xf>
    <xf numFmtId="10" fontId="0" fillId="0" borderId="0" xfId="0" applyNumberFormat="1" applyAlignment="1">
      <alignment horizontal="left"/>
    </xf>
    <xf numFmtId="10" fontId="0" fillId="0" borderId="0" xfId="0" applyNumberFormat="1" applyAlignment="1">
      <alignment horizontal="right"/>
    </xf>
    <xf numFmtId="10" fontId="0" fillId="0" borderId="0" xfId="2" applyNumberFormat="1" applyFont="1" applyAlignment="1">
      <alignment horizontal="right"/>
    </xf>
    <xf numFmtId="10" fontId="0" fillId="0" borderId="9" xfId="0" applyNumberFormat="1" applyBorder="1" applyAlignment="1">
      <alignment horizontal="right"/>
    </xf>
    <xf numFmtId="10" fontId="0" fillId="0" borderId="9" xfId="2" applyNumberFormat="1" applyFont="1" applyBorder="1" applyAlignment="1">
      <alignment horizontal="right"/>
    </xf>
    <xf numFmtId="0" fontId="8" fillId="0" borderId="15" xfId="0" applyFont="1" applyBorder="1"/>
    <xf numFmtId="0" fontId="8" fillId="0" borderId="0" xfId="0" applyFont="1" applyBorder="1"/>
    <xf numFmtId="2" fontId="0" fillId="0" borderId="0" xfId="0" applyNumberFormat="1" applyBorder="1"/>
    <xf numFmtId="0" fontId="0" fillId="0" borderId="0" xfId="0" applyBorder="1"/>
    <xf numFmtId="10" fontId="0" fillId="0" borderId="10" xfId="2" applyNumberFormat="1" applyFont="1" applyBorder="1"/>
    <xf numFmtId="0" fontId="8" fillId="0" borderId="0" xfId="0" quotePrefix="1" applyFont="1"/>
    <xf numFmtId="0" fontId="8" fillId="0" borderId="0" xfId="0" applyFont="1" applyAlignment="1">
      <alignment horizontal="right"/>
    </xf>
    <xf numFmtId="0" fontId="14" fillId="0" borderId="0" xfId="0" applyFont="1"/>
    <xf numFmtId="10" fontId="8" fillId="0" borderId="9" xfId="2" applyNumberFormat="1" applyFont="1" applyBorder="1"/>
    <xf numFmtId="10" fontId="8" fillId="0" borderId="9" xfId="2" applyNumberFormat="1" applyFont="1" applyBorder="1" applyAlignment="1">
      <alignment horizontal="center"/>
    </xf>
    <xf numFmtId="9" fontId="0" fillId="0" borderId="0" xfId="2" applyNumberFormat="1" applyFont="1"/>
    <xf numFmtId="2" fontId="8" fillId="0" borderId="9" xfId="0" applyNumberFormat="1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10" fontId="7" fillId="0" borderId="0" xfId="0" applyNumberFormat="1" applyFont="1"/>
    <xf numFmtId="10" fontId="8" fillId="0" borderId="0" xfId="0" applyNumberFormat="1" applyFont="1"/>
    <xf numFmtId="0" fontId="15" fillId="0" borderId="0" xfId="0" applyFont="1"/>
    <xf numFmtId="10" fontId="7" fillId="0" borderId="0" xfId="2" applyNumberFormat="1" applyFont="1"/>
    <xf numFmtId="0" fontId="15" fillId="0" borderId="0" xfId="0" applyFont="1" applyAlignment="1">
      <alignment horizontal="center"/>
    </xf>
    <xf numFmtId="0" fontId="16" fillId="0" borderId="0" xfId="0" applyFont="1"/>
    <xf numFmtId="10" fontId="0" fillId="0" borderId="9" xfId="2" applyNumberFormat="1" applyFont="1" applyFill="1" applyBorder="1"/>
    <xf numFmtId="10" fontId="0" fillId="0" borderId="15" xfId="2" applyNumberFormat="1" applyFont="1" applyBorder="1"/>
    <xf numFmtId="44" fontId="0" fillId="0" borderId="0" xfId="1" applyFont="1" applyBorder="1" applyAlignment="1">
      <alignment horizontal="right"/>
    </xf>
    <xf numFmtId="44" fontId="0" fillId="0" borderId="9" xfId="0" applyNumberFormat="1" applyBorder="1"/>
    <xf numFmtId="0" fontId="8" fillId="0" borderId="0" xfId="4"/>
    <xf numFmtId="0" fontId="8" fillId="0" borderId="0" xfId="4" applyAlignment="1">
      <alignment horizontal="right"/>
    </xf>
    <xf numFmtId="1" fontId="8" fillId="0" borderId="0" xfId="4" applyNumberFormat="1"/>
    <xf numFmtId="2" fontId="8" fillId="0" borderId="0" xfId="4" applyNumberFormat="1"/>
    <xf numFmtId="0" fontId="8" fillId="0" borderId="0" xfId="4" applyAlignment="1">
      <alignment horizontal="left"/>
    </xf>
    <xf numFmtId="0" fontId="7" fillId="0" borderId="0" xfId="4" applyFont="1" applyAlignment="1">
      <alignment horizontal="right" vertical="top" wrapText="1"/>
    </xf>
    <xf numFmtId="0" fontId="7" fillId="0" borderId="0" xfId="4" applyFont="1" applyAlignment="1">
      <alignment horizontal="left" vertical="top"/>
    </xf>
    <xf numFmtId="0" fontId="7" fillId="0" borderId="0" xfId="4" applyFont="1" applyAlignment="1">
      <alignment vertical="top" wrapText="1"/>
    </xf>
    <xf numFmtId="0" fontId="6" fillId="0" borderId="0" xfId="4" applyFont="1" applyAlignment="1">
      <alignment horizontal="left"/>
    </xf>
    <xf numFmtId="44" fontId="8" fillId="0" borderId="0" xfId="1" applyAlignment="1">
      <alignment horizontal="right"/>
    </xf>
    <xf numFmtId="44" fontId="8" fillId="0" borderId="0" xfId="1"/>
    <xf numFmtId="165" fontId="0" fillId="0" borderId="0" xfId="0" applyNumberFormat="1" applyBorder="1"/>
    <xf numFmtId="10" fontId="8" fillId="0" borderId="0" xfId="2" applyNumberFormat="1"/>
    <xf numFmtId="0" fontId="17" fillId="0" borderId="9" xfId="0" applyFont="1" applyBorder="1"/>
    <xf numFmtId="2" fontId="17" fillId="0" borderId="9" xfId="0" applyNumberFormat="1" applyFont="1" applyBorder="1"/>
    <xf numFmtId="0" fontId="17" fillId="0" borderId="0" xfId="0" applyFont="1"/>
    <xf numFmtId="0" fontId="7" fillId="0" borderId="0" xfId="4" applyFont="1"/>
    <xf numFmtId="0" fontId="8" fillId="0" borderId="0" xfId="4" applyFont="1"/>
    <xf numFmtId="44" fontId="8" fillId="0" borderId="0" xfId="4" applyNumberFormat="1"/>
    <xf numFmtId="0" fontId="8" fillId="0" borderId="0" xfId="4" applyNumberFormat="1"/>
    <xf numFmtId="44" fontId="8" fillId="0" borderId="0" xfId="1" applyFont="1"/>
    <xf numFmtId="0" fontId="8" fillId="0" borderId="0" xfId="1" applyNumberFormat="1"/>
    <xf numFmtId="44" fontId="8" fillId="0" borderId="0" xfId="1" applyNumberFormat="1"/>
    <xf numFmtId="2" fontId="0" fillId="0" borderId="0" xfId="2" applyNumberFormat="1" applyFont="1"/>
    <xf numFmtId="44" fontId="0" fillId="0" borderId="9" xfId="1" applyFont="1" applyBorder="1"/>
    <xf numFmtId="44" fontId="0" fillId="0" borderId="9" xfId="2" applyNumberFormat="1" applyFont="1" applyBorder="1"/>
    <xf numFmtId="164" fontId="0" fillId="0" borderId="9" xfId="3" applyNumberFormat="1" applyFont="1" applyBorder="1"/>
    <xf numFmtId="44" fontId="0" fillId="0" borderId="9" xfId="1" applyNumberFormat="1" applyFont="1" applyBorder="1"/>
    <xf numFmtId="44" fontId="8" fillId="0" borderId="9" xfId="1" applyNumberFormat="1" applyFont="1" applyBorder="1" applyAlignment="1">
      <alignment horizontal="center"/>
    </xf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right" vertical="top"/>
    </xf>
    <xf numFmtId="166" fontId="0" fillId="0" borderId="9" xfId="1" applyNumberFormat="1" applyFont="1" applyBorder="1"/>
    <xf numFmtId="166" fontId="0" fillId="0" borderId="9" xfId="0" applyNumberFormat="1" applyBorder="1"/>
    <xf numFmtId="0" fontId="8" fillId="0" borderId="9" xfId="0" applyFont="1" applyBorder="1" applyAlignment="1"/>
    <xf numFmtId="0" fontId="0" fillId="0" borderId="9" xfId="0" applyBorder="1" applyAlignment="1"/>
    <xf numFmtId="44" fontId="8" fillId="0" borderId="9" xfId="0" applyNumberFormat="1" applyFont="1" applyBorder="1"/>
    <xf numFmtId="10" fontId="8" fillId="0" borderId="0" xfId="4" applyNumberFormat="1"/>
    <xf numFmtId="0" fontId="18" fillId="0" borderId="0" xfId="4" applyFont="1" applyAlignment="1">
      <alignment horizontal="center"/>
    </xf>
    <xf numFmtId="0" fontId="8" fillId="0" borderId="0" xfId="4" applyAlignment="1">
      <alignment horizontal="center"/>
    </xf>
    <xf numFmtId="0" fontId="8" fillId="0" borderId="0" xfId="4" quotePrefix="1" applyAlignment="1">
      <alignment horizontal="center"/>
    </xf>
    <xf numFmtId="0" fontId="18" fillId="0" borderId="0" xfId="4" applyFont="1"/>
    <xf numFmtId="0" fontId="8" fillId="0" borderId="16" xfId="4" quotePrefix="1" applyBorder="1" applyAlignment="1">
      <alignment horizontal="center"/>
    </xf>
    <xf numFmtId="164" fontId="0" fillId="0" borderId="0" xfId="5" applyNumberFormat="1" applyFont="1"/>
    <xf numFmtId="164" fontId="0" fillId="0" borderId="16" xfId="5" applyNumberFormat="1" applyFont="1" applyBorder="1"/>
    <xf numFmtId="43" fontId="0" fillId="0" borderId="0" xfId="5" applyFont="1"/>
    <xf numFmtId="43" fontId="8" fillId="0" borderId="0" xfId="4" applyNumberFormat="1"/>
    <xf numFmtId="166" fontId="0" fillId="0" borderId="0" xfId="1" applyNumberFormat="1" applyFont="1"/>
    <xf numFmtId="0" fontId="8" fillId="0" borderId="16" xfId="4" applyBorder="1" applyAlignment="1">
      <alignment horizontal="center"/>
    </xf>
    <xf numFmtId="166" fontId="8" fillId="0" borderId="0" xfId="4" applyNumberFormat="1"/>
    <xf numFmtId="164" fontId="8" fillId="0" borderId="16" xfId="4" applyNumberFormat="1" applyBorder="1"/>
    <xf numFmtId="167" fontId="8" fillId="0" borderId="0" xfId="4" applyNumberFormat="1"/>
    <xf numFmtId="0" fontId="8" fillId="0" borderId="16" xfId="4" applyBorder="1"/>
    <xf numFmtId="166" fontId="8" fillId="0" borderId="16" xfId="4" applyNumberFormat="1" applyBorder="1"/>
    <xf numFmtId="167" fontId="0" fillId="0" borderId="0" xfId="2" applyNumberFormat="1" applyFont="1"/>
    <xf numFmtId="0" fontId="8" fillId="0" borderId="0" xfId="4" quotePrefix="1"/>
    <xf numFmtId="0" fontId="18" fillId="0" borderId="0" xfId="4" quotePrefix="1" applyFont="1"/>
    <xf numFmtId="44" fontId="18" fillId="0" borderId="0" xfId="4" applyNumberFormat="1" applyFont="1"/>
    <xf numFmtId="164" fontId="8" fillId="0" borderId="0" xfId="4" applyNumberFormat="1"/>
    <xf numFmtId="0" fontId="7" fillId="0" borderId="0" xfId="4" applyFont="1" applyAlignment="1">
      <alignment horizontal="center"/>
    </xf>
    <xf numFmtId="168" fontId="8" fillId="0" borderId="0" xfId="4" applyNumberFormat="1"/>
    <xf numFmtId="169" fontId="8" fillId="0" borderId="0" xfId="4" applyNumberFormat="1"/>
    <xf numFmtId="166" fontId="0" fillId="0" borderId="0" xfId="1" applyNumberFormat="1" applyFont="1" applyAlignment="1">
      <alignment horizontal="center"/>
    </xf>
    <xf numFmtId="166" fontId="8" fillId="0" borderId="0" xfId="1" applyNumberFormat="1" applyFont="1"/>
    <xf numFmtId="0" fontId="4" fillId="0" borderId="0" xfId="6"/>
    <xf numFmtId="0" fontId="4" fillId="0" borderId="0" xfId="6" applyAlignment="1">
      <alignment horizontal="center"/>
    </xf>
    <xf numFmtId="0" fontId="20" fillId="0" borderId="0" xfId="6" applyFont="1"/>
    <xf numFmtId="0" fontId="18" fillId="0" borderId="0" xfId="6" applyFont="1" applyAlignment="1">
      <alignment horizontal="right"/>
    </xf>
    <xf numFmtId="44" fontId="0" fillId="0" borderId="0" xfId="7" applyFont="1"/>
    <xf numFmtId="0" fontId="18" fillId="0" borderId="17" xfId="6" applyFont="1" applyBorder="1"/>
    <xf numFmtId="0" fontId="18" fillId="0" borderId="18" xfId="6" applyFont="1" applyBorder="1"/>
    <xf numFmtId="0" fontId="18" fillId="0" borderId="16" xfId="6" applyFont="1" applyBorder="1"/>
    <xf numFmtId="0" fontId="18" fillId="0" borderId="0" xfId="6" applyFont="1"/>
    <xf numFmtId="44" fontId="4" fillId="0" borderId="0" xfId="6" applyNumberFormat="1"/>
    <xf numFmtId="170" fontId="4" fillId="0" borderId="0" xfId="6" applyNumberFormat="1"/>
    <xf numFmtId="44" fontId="4" fillId="0" borderId="1" xfId="6" applyNumberFormat="1" applyBorder="1"/>
    <xf numFmtId="10" fontId="4" fillId="0" borderId="0" xfId="6" applyNumberFormat="1"/>
    <xf numFmtId="2" fontId="4" fillId="0" borderId="0" xfId="6" applyNumberFormat="1"/>
    <xf numFmtId="10" fontId="0" fillId="0" borderId="0" xfId="8" applyNumberFormat="1" applyFont="1"/>
    <xf numFmtId="44" fontId="4" fillId="0" borderId="0" xfId="7"/>
    <xf numFmtId="171" fontId="4" fillId="0" borderId="0" xfId="6" applyNumberFormat="1"/>
    <xf numFmtId="44" fontId="21" fillId="0" borderId="0" xfId="6" applyNumberFormat="1" applyFont="1"/>
    <xf numFmtId="44" fontId="4" fillId="2" borderId="0" xfId="6" applyNumberFormat="1" applyFill="1"/>
    <xf numFmtId="44" fontId="0" fillId="0" borderId="0" xfId="8" applyNumberFormat="1" applyFont="1"/>
    <xf numFmtId="9" fontId="0" fillId="0" borderId="0" xfId="8" applyFont="1"/>
    <xf numFmtId="9" fontId="8" fillId="0" borderId="0" xfId="4" applyNumberFormat="1"/>
    <xf numFmtId="0" fontId="7" fillId="0" borderId="9" xfId="4" applyFont="1" applyBorder="1"/>
    <xf numFmtId="0" fontId="8" fillId="0" borderId="9" xfId="4" applyBorder="1"/>
    <xf numFmtId="44" fontId="8" fillId="0" borderId="0" xfId="4" applyNumberFormat="1" applyAlignment="1">
      <alignment horizontal="center"/>
    </xf>
    <xf numFmtId="10" fontId="8" fillId="0" borderId="0" xfId="4" quotePrefix="1" applyNumberFormat="1" applyAlignment="1">
      <alignment horizontal="center"/>
    </xf>
    <xf numFmtId="10" fontId="7" fillId="0" borderId="0" xfId="4" applyNumberFormat="1" applyFont="1"/>
    <xf numFmtId="10" fontId="8" fillId="0" borderId="1" xfId="4" applyNumberFormat="1" applyBorder="1"/>
    <xf numFmtId="0" fontId="8" fillId="0" borderId="1" xfId="4" quotePrefix="1" applyBorder="1"/>
    <xf numFmtId="10" fontId="8" fillId="0" borderId="0" xfId="4" applyNumberFormat="1" applyAlignment="1">
      <alignment horizontal="center"/>
    </xf>
    <xf numFmtId="10" fontId="8" fillId="0" borderId="9" xfId="4" applyNumberFormat="1" applyBorder="1"/>
    <xf numFmtId="2" fontId="8" fillId="0" borderId="9" xfId="4" applyNumberFormat="1" applyBorder="1"/>
    <xf numFmtId="166" fontId="0" fillId="0" borderId="1" xfId="1" applyNumberFormat="1" applyFont="1" applyBorder="1"/>
    <xf numFmtId="0" fontId="7" fillId="0" borderId="0" xfId="0" applyNumberFormat="1" applyFont="1"/>
    <xf numFmtId="2" fontId="0" fillId="0" borderId="19" xfId="0" applyNumberFormat="1" applyBorder="1"/>
    <xf numFmtId="44" fontId="8" fillId="0" borderId="0" xfId="0" applyNumberFormat="1" applyFont="1" applyAlignment="1">
      <alignment horizontal="center"/>
    </xf>
    <xf numFmtId="44" fontId="8" fillId="0" borderId="0" xfId="1" applyFont="1" applyAlignment="1">
      <alignment horizontal="center"/>
    </xf>
    <xf numFmtId="44" fontId="8" fillId="0" borderId="10" xfId="0" applyNumberFormat="1" applyFont="1" applyBorder="1"/>
    <xf numFmtId="44" fontId="8" fillId="0" borderId="10" xfId="1" applyFont="1" applyBorder="1"/>
    <xf numFmtId="0" fontId="0" fillId="0" borderId="20" xfId="0" applyBorder="1"/>
    <xf numFmtId="0" fontId="7" fillId="0" borderId="0" xfId="0" applyFont="1" applyBorder="1"/>
    <xf numFmtId="0" fontId="7" fillId="0" borderId="21" xfId="0" applyFont="1" applyBorder="1"/>
    <xf numFmtId="0" fontId="8" fillId="0" borderId="20" xfId="0" applyFont="1" applyBorder="1"/>
    <xf numFmtId="44" fontId="0" fillId="0" borderId="0" xfId="0" applyNumberFormat="1" applyBorder="1"/>
    <xf numFmtId="0" fontId="0" fillId="0" borderId="21" xfId="0" applyBorder="1"/>
    <xf numFmtId="0" fontId="8" fillId="0" borderId="20" xfId="0" quotePrefix="1" applyFont="1" applyBorder="1"/>
    <xf numFmtId="44" fontId="0" fillId="0" borderId="21" xfId="0" applyNumberFormat="1" applyBorder="1"/>
    <xf numFmtId="0" fontId="7" fillId="0" borderId="6" xfId="0" applyFont="1" applyBorder="1"/>
    <xf numFmtId="44" fontId="0" fillId="0" borderId="7" xfId="0" applyNumberFormat="1" applyBorder="1"/>
    <xf numFmtId="44" fontId="0" fillId="0" borderId="8" xfId="0" applyNumberFormat="1" applyBorder="1"/>
    <xf numFmtId="44" fontId="0" fillId="0" borderId="22" xfId="0" applyNumberFormat="1" applyBorder="1"/>
    <xf numFmtId="44" fontId="0" fillId="0" borderId="23" xfId="0" applyNumberFormat="1" applyBorder="1"/>
    <xf numFmtId="44" fontId="0" fillId="0" borderId="24" xfId="0" applyNumberFormat="1" applyBorder="1"/>
    <xf numFmtId="10" fontId="0" fillId="0" borderId="22" xfId="2" applyNumberFormat="1" applyFont="1" applyBorder="1"/>
    <xf numFmtId="10" fontId="0" fillId="0" borderId="23" xfId="2" applyNumberFormat="1" applyFont="1" applyBorder="1"/>
    <xf numFmtId="10" fontId="0" fillId="0" borderId="24" xfId="2" applyNumberFormat="1" applyFont="1" applyBorder="1"/>
    <xf numFmtId="44" fontId="0" fillId="0" borderId="1" xfId="0" applyNumberFormat="1" applyBorder="1"/>
    <xf numFmtId="0" fontId="22" fillId="0" borderId="0" xfId="4" applyFont="1"/>
    <xf numFmtId="0" fontId="8" fillId="0" borderId="12" xfId="4" applyBorder="1"/>
    <xf numFmtId="10" fontId="7" fillId="0" borderId="14" xfId="2" applyNumberFormat="1" applyFont="1" applyBorder="1"/>
    <xf numFmtId="0" fontId="8" fillId="0" borderId="0" xfId="0" applyFont="1" applyFill="1" applyBorder="1"/>
    <xf numFmtId="10" fontId="8" fillId="0" borderId="0" xfId="4" applyNumberFormat="1" applyFont="1"/>
    <xf numFmtId="44" fontId="4" fillId="0" borderId="0" xfId="1" applyFont="1"/>
    <xf numFmtId="0" fontId="3" fillId="0" borderId="0" xfId="6" applyFont="1"/>
    <xf numFmtId="10" fontId="3" fillId="0" borderId="0" xfId="2" applyNumberFormat="1" applyFont="1"/>
    <xf numFmtId="0" fontId="3" fillId="0" borderId="0" xfId="6" applyFont="1" applyAlignment="1">
      <alignment horizontal="center"/>
    </xf>
    <xf numFmtId="0" fontId="7" fillId="3" borderId="0" xfId="4" applyFont="1" applyFill="1"/>
    <xf numFmtId="10" fontId="7" fillId="3" borderId="0" xfId="4" applyNumberFormat="1" applyFont="1" applyFill="1" applyAlignment="1">
      <alignment horizontal="center"/>
    </xf>
    <xf numFmtId="0" fontId="23" fillId="0" borderId="0" xfId="4" applyFont="1"/>
    <xf numFmtId="10" fontId="7" fillId="3" borderId="0" xfId="4" applyNumberFormat="1" applyFont="1" applyFill="1"/>
    <xf numFmtId="0" fontId="0" fillId="0" borderId="12" xfId="0" applyBorder="1" applyAlignment="1">
      <alignment horizontal="left"/>
    </xf>
    <xf numFmtId="44" fontId="0" fillId="0" borderId="13" xfId="0" applyNumberFormat="1" applyBorder="1"/>
    <xf numFmtId="0" fontId="8" fillId="0" borderId="14" xfId="0" applyFont="1" applyBorder="1"/>
    <xf numFmtId="0" fontId="0" fillId="0" borderId="3" xfId="0" applyBorder="1"/>
    <xf numFmtId="44" fontId="0" fillId="0" borderId="4" xfId="0" applyNumberFormat="1" applyBorder="1"/>
    <xf numFmtId="0" fontId="0" fillId="0" borderId="5" xfId="0" applyBorder="1"/>
    <xf numFmtId="0" fontId="8" fillId="0" borderId="6" xfId="0" applyFont="1" applyBorder="1"/>
    <xf numFmtId="0" fontId="0" fillId="0" borderId="7" xfId="0" applyBorder="1"/>
    <xf numFmtId="0" fontId="0" fillId="0" borderId="8" xfId="0" applyBorder="1"/>
    <xf numFmtId="44" fontId="0" fillId="0" borderId="6" xfId="0" applyNumberFormat="1" applyBorder="1"/>
    <xf numFmtId="44" fontId="0" fillId="0" borderId="12" xfId="0" applyNumberFormat="1" applyBorder="1"/>
    <xf numFmtId="0" fontId="8" fillId="0" borderId="5" xfId="0" applyFont="1" applyBorder="1"/>
    <xf numFmtId="0" fontId="0" fillId="0" borderId="6" xfId="0" applyBorder="1"/>
    <xf numFmtId="0" fontId="0" fillId="0" borderId="12" xfId="0" applyBorder="1"/>
    <xf numFmtId="0" fontId="0" fillId="0" borderId="14" xfId="0" applyBorder="1"/>
    <xf numFmtId="44" fontId="0" fillId="0" borderId="20" xfId="0" applyNumberFormat="1" applyBorder="1"/>
    <xf numFmtId="0" fontId="8" fillId="0" borderId="3" xfId="0" applyFont="1" applyBorder="1"/>
    <xf numFmtId="44" fontId="0" fillId="0" borderId="14" xfId="0" applyNumberFormat="1" applyBorder="1"/>
    <xf numFmtId="165" fontId="8" fillId="0" borderId="0" xfId="4" applyNumberFormat="1"/>
    <xf numFmtId="0" fontId="8" fillId="0" borderId="9" xfId="0" quotePrefix="1" applyFont="1" applyFill="1" applyBorder="1"/>
    <xf numFmtId="0" fontId="2" fillId="0" borderId="0" xfId="9"/>
    <xf numFmtId="14" fontId="2" fillId="0" borderId="0" xfId="9" applyNumberFormat="1"/>
    <xf numFmtId="0" fontId="18" fillId="0" borderId="0" xfId="9" applyFont="1"/>
    <xf numFmtId="44" fontId="2" fillId="0" borderId="9" xfId="1" applyFont="1" applyBorder="1"/>
    <xf numFmtId="10" fontId="0" fillId="0" borderId="1" xfId="0" applyNumberFormat="1" applyBorder="1"/>
    <xf numFmtId="9" fontId="0" fillId="0" borderId="0" xfId="0" applyNumberFormat="1"/>
    <xf numFmtId="2" fontId="7" fillId="0" borderId="0" xfId="0" applyNumberFormat="1" applyFont="1" applyAlignment="1">
      <alignment horizontal="right" vertical="top" wrapText="1"/>
    </xf>
    <xf numFmtId="0" fontId="0" fillId="0" borderId="0" xfId="0" applyNumberFormat="1"/>
    <xf numFmtId="0" fontId="24" fillId="0" borderId="0" xfId="0" applyFont="1"/>
    <xf numFmtId="14" fontId="0" fillId="0" borderId="9" xfId="0" applyNumberFormat="1" applyBorder="1"/>
    <xf numFmtId="170" fontId="0" fillId="0" borderId="9" xfId="0" applyNumberFormat="1" applyBorder="1"/>
    <xf numFmtId="0" fontId="11" fillId="0" borderId="0" xfId="0" applyFont="1"/>
    <xf numFmtId="0" fontId="0" fillId="0" borderId="9" xfId="0" applyFont="1" applyFill="1" applyBorder="1" applyAlignment="1">
      <alignment horizontal="center"/>
    </xf>
    <xf numFmtId="0" fontId="1" fillId="0" borderId="0" xfId="9" applyFont="1"/>
    <xf numFmtId="44" fontId="25" fillId="0" borderId="0" xfId="1" applyFont="1" applyAlignment="1">
      <alignment horizontal="right" vertical="top" wrapText="1"/>
    </xf>
    <xf numFmtId="44" fontId="0" fillId="0" borderId="2" xfId="0" applyNumberFormat="1" applyBorder="1"/>
    <xf numFmtId="44" fontId="0" fillId="0" borderId="22" xfId="1" applyFont="1" applyBorder="1"/>
    <xf numFmtId="44" fontId="0" fillId="0" borderId="24" xfId="1" applyFont="1" applyBorder="1"/>
    <xf numFmtId="44" fontId="0" fillId="0" borderId="25" xfId="1" applyFont="1" applyBorder="1"/>
    <xf numFmtId="0" fontId="0" fillId="0" borderId="0" xfId="1" applyNumberFormat="1" applyFont="1"/>
    <xf numFmtId="0" fontId="0" fillId="0" borderId="0" xfId="1" applyNumberFormat="1" applyFont="1" applyAlignment="1">
      <alignment horizontal="right"/>
    </xf>
    <xf numFmtId="10" fontId="0" fillId="0" borderId="0" xfId="2" applyNumberFormat="1" applyFont="1" applyAlignment="1">
      <alignment horizontal="left"/>
    </xf>
    <xf numFmtId="0" fontId="25" fillId="0" borderId="0" xfId="0" applyFont="1" applyAlignment="1">
      <alignment horizontal="right" vertical="top" wrapText="1"/>
    </xf>
    <xf numFmtId="44" fontId="0" fillId="0" borderId="2" xfId="1" applyFont="1" applyBorder="1" applyAlignment="1">
      <alignment horizontal="right"/>
    </xf>
    <xf numFmtId="44" fontId="0" fillId="0" borderId="11" xfId="0" applyNumberFormat="1" applyBorder="1"/>
    <xf numFmtId="14" fontId="7" fillId="0" borderId="0" xfId="0" applyNumberFormat="1" applyFont="1" applyAlignment="1">
      <alignment horizontal="right" vertical="top" wrapText="1"/>
    </xf>
    <xf numFmtId="15" fontId="2" fillId="0" borderId="0" xfId="9" applyNumberFormat="1"/>
    <xf numFmtId="3" fontId="2" fillId="0" borderId="0" xfId="9" applyNumberFormat="1"/>
    <xf numFmtId="0" fontId="8" fillId="0" borderId="9" xfId="0" applyNumberFormat="1" applyFont="1" applyBorder="1" applyAlignment="1">
      <alignment horizontal="center"/>
    </xf>
    <xf numFmtId="167" fontId="0" fillId="0" borderId="0" xfId="0" applyNumberFormat="1"/>
    <xf numFmtId="44" fontId="8" fillId="0" borderId="12" xfId="0" applyNumberFormat="1" applyFont="1" applyBorder="1" applyAlignment="1">
      <alignment horizontal="center"/>
    </xf>
    <xf numFmtId="44" fontId="8" fillId="0" borderId="13" xfId="0" applyNumberFormat="1" applyFont="1" applyBorder="1" applyAlignment="1">
      <alignment horizontal="center"/>
    </xf>
    <xf numFmtId="44" fontId="8" fillId="0" borderId="14" xfId="0" applyNumberFormat="1" applyFont="1" applyBorder="1" applyAlignment="1">
      <alignment horizontal="center"/>
    </xf>
    <xf numFmtId="0" fontId="8" fillId="0" borderId="0" xfId="4" applyAlignment="1">
      <alignment horizontal="center"/>
    </xf>
  </cellXfs>
  <cellStyles count="10">
    <cellStyle name="Comma" xfId="3" builtinId="3"/>
    <cellStyle name="Comma 2" xfId="5" xr:uid="{3DCFF137-DBC5-444E-8E81-40740BAA2650}"/>
    <cellStyle name="Currency" xfId="1" builtinId="4"/>
    <cellStyle name="Currency 2" xfId="7" xr:uid="{C644DB2B-0A2E-4442-B1A5-C08999D4C379}"/>
    <cellStyle name="Normal" xfId="0" builtinId="0"/>
    <cellStyle name="Normal 2" xfId="4" xr:uid="{1844615D-4DED-4651-AF78-AA252438E6B5}"/>
    <cellStyle name="Normal 3" xfId="6" xr:uid="{D73F3B6A-2E39-43D6-96DB-3EA328F466DD}"/>
    <cellStyle name="Normal 4" xfId="9" xr:uid="{219F8EB5-9B59-4B2E-86A2-405A79929BAE}"/>
    <cellStyle name="Percent" xfId="2" builtinId="5"/>
    <cellStyle name="Percent 2" xfId="8" xr:uid="{02C184D7-8CE2-4A2F-9757-4701A47F5520}"/>
  </cellStyles>
  <dxfs count="5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0.xml"/><Relationship Id="rId18" Type="http://schemas.openxmlformats.org/officeDocument/2006/relationships/worksheet" Target="worksheets/sheet14.xml"/><Relationship Id="rId26" Type="http://schemas.openxmlformats.org/officeDocument/2006/relationships/chartsheet" Target="chartsheets/sheet8.xml"/><Relationship Id="rId39" Type="http://schemas.openxmlformats.org/officeDocument/2006/relationships/chartsheet" Target="chartsheets/sheet21.xml"/><Relationship Id="rId21" Type="http://schemas.openxmlformats.org/officeDocument/2006/relationships/worksheet" Target="worksheets/sheet17.xml"/><Relationship Id="rId34" Type="http://schemas.openxmlformats.org/officeDocument/2006/relationships/chartsheet" Target="chartsheets/sheet16.xml"/><Relationship Id="rId42" Type="http://schemas.openxmlformats.org/officeDocument/2006/relationships/chartsheet" Target="chartsheets/sheet24.xml"/><Relationship Id="rId47" Type="http://schemas.openxmlformats.org/officeDocument/2006/relationships/theme" Target="theme/theme1.xml"/><Relationship Id="rId50" Type="http://schemas.openxmlformats.org/officeDocument/2006/relationships/sheetMetadata" Target="metadata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2.xml"/><Relationship Id="rId29" Type="http://schemas.openxmlformats.org/officeDocument/2006/relationships/chartsheet" Target="chartsheets/sheet11.xml"/><Relationship Id="rId11" Type="http://schemas.openxmlformats.org/officeDocument/2006/relationships/chartsheet" Target="chartsheets/sheet2.xml"/><Relationship Id="rId24" Type="http://schemas.openxmlformats.org/officeDocument/2006/relationships/chartsheet" Target="chartsheets/sheet6.xml"/><Relationship Id="rId32" Type="http://schemas.openxmlformats.org/officeDocument/2006/relationships/chartsheet" Target="chartsheets/sheet14.xml"/><Relationship Id="rId37" Type="http://schemas.openxmlformats.org/officeDocument/2006/relationships/chartsheet" Target="chartsheets/sheet19.xml"/><Relationship Id="rId40" Type="http://schemas.openxmlformats.org/officeDocument/2006/relationships/chartsheet" Target="chartsheets/sheet22.xml"/><Relationship Id="rId45" Type="http://schemas.openxmlformats.org/officeDocument/2006/relationships/worksheet" Target="worksheets/sheet2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23" Type="http://schemas.openxmlformats.org/officeDocument/2006/relationships/chartsheet" Target="chartsheets/sheet5.xml"/><Relationship Id="rId28" Type="http://schemas.openxmlformats.org/officeDocument/2006/relationships/chartsheet" Target="chartsheets/sheet10.xml"/><Relationship Id="rId36" Type="http://schemas.openxmlformats.org/officeDocument/2006/relationships/chartsheet" Target="chartsheets/sheet18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9.xml"/><Relationship Id="rId19" Type="http://schemas.openxmlformats.org/officeDocument/2006/relationships/worksheet" Target="worksheets/sheet15.xml"/><Relationship Id="rId31" Type="http://schemas.openxmlformats.org/officeDocument/2006/relationships/chartsheet" Target="chartsheets/sheet13.xml"/><Relationship Id="rId44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8.xml"/><Relationship Id="rId14" Type="http://schemas.openxmlformats.org/officeDocument/2006/relationships/chartsheet" Target="chartsheets/sheet4.xml"/><Relationship Id="rId22" Type="http://schemas.openxmlformats.org/officeDocument/2006/relationships/worksheet" Target="worksheets/sheet18.xml"/><Relationship Id="rId27" Type="http://schemas.openxmlformats.org/officeDocument/2006/relationships/chartsheet" Target="chartsheets/sheet9.xml"/><Relationship Id="rId30" Type="http://schemas.openxmlformats.org/officeDocument/2006/relationships/chartsheet" Target="chartsheets/sheet12.xml"/><Relationship Id="rId35" Type="http://schemas.openxmlformats.org/officeDocument/2006/relationships/chartsheet" Target="chartsheets/sheet17.xml"/><Relationship Id="rId43" Type="http://schemas.openxmlformats.org/officeDocument/2006/relationships/chartsheet" Target="chartsheets/sheet25.xml"/><Relationship Id="rId48" Type="http://schemas.openxmlformats.org/officeDocument/2006/relationships/styles" Target="styles.xml"/><Relationship Id="rId8" Type="http://schemas.openxmlformats.org/officeDocument/2006/relationships/chartsheet" Target="chartsheets/sheet1.xml"/><Relationship Id="rId51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chartsheet" Target="chartsheets/sheet3.xml"/><Relationship Id="rId17" Type="http://schemas.openxmlformats.org/officeDocument/2006/relationships/worksheet" Target="worksheets/sheet13.xml"/><Relationship Id="rId25" Type="http://schemas.openxmlformats.org/officeDocument/2006/relationships/chartsheet" Target="chartsheets/sheet7.xml"/><Relationship Id="rId33" Type="http://schemas.openxmlformats.org/officeDocument/2006/relationships/chartsheet" Target="chartsheets/sheet15.xml"/><Relationship Id="rId38" Type="http://schemas.openxmlformats.org/officeDocument/2006/relationships/chartsheet" Target="chartsheets/sheet20.xml"/><Relationship Id="rId46" Type="http://schemas.openxmlformats.org/officeDocument/2006/relationships/externalLink" Target="externalLinks/externalLink1.xml"/><Relationship Id="rId20" Type="http://schemas.openxmlformats.org/officeDocument/2006/relationships/worksheet" Target="worksheets/sheet16.xml"/><Relationship Id="rId41" Type="http://schemas.openxmlformats.org/officeDocument/2006/relationships/chartsheet" Target="chartsheets/sheet2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Cash Flow</a:t>
            </a:r>
            <a:r>
              <a:rPr lang="en-US" sz="1600" b="1" baseline="0"/>
              <a:t> </a:t>
            </a:r>
            <a:endParaRPr lang="en-US" sz="1600" b="1"/>
          </a:p>
        </c:rich>
      </c:tx>
      <c:layout>
        <c:manualLayout>
          <c:xMode val="edge"/>
          <c:yMode val="edge"/>
          <c:x val="0.3753014903974007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823682261584694E-2"/>
          <c:y val="4.0702219085565226E-2"/>
          <c:w val="0.89511644485319175"/>
          <c:h val="0.81099853107459996"/>
        </c:manualLayout>
      </c:layout>
      <c:scatterChart>
        <c:scatterStyle val="smoothMarker"/>
        <c:varyColors val="0"/>
        <c:ser>
          <c:idx val="0"/>
          <c:order val="0"/>
          <c:tx>
            <c:v>Cash flow per share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'Cash Flow Generation'!$B$12:$G$12</c:f>
              <c:numCache>
                <c:formatCode>General</c:formatCode>
                <c:ptCount val="6"/>
                <c:pt idx="0">
                  <c:v>2020</c:v>
                </c:pt>
                <c:pt idx="1">
                  <c:v>2019</c:v>
                </c:pt>
                <c:pt idx="2">
                  <c:v>2018</c:v>
                </c:pt>
                <c:pt idx="3">
                  <c:v>2017</c:v>
                </c:pt>
                <c:pt idx="4">
                  <c:v>2016</c:v>
                </c:pt>
                <c:pt idx="5">
                  <c:v>2015</c:v>
                </c:pt>
              </c:numCache>
            </c:numRef>
          </c:xVal>
          <c:yVal>
            <c:numRef>
              <c:f>'Cash Flow Generation'!$B$13:$G$13</c:f>
              <c:numCache>
                <c:formatCode>_("$"* #,##0.00_);_("$"* \(#,##0.00\);_("$"* "-"??_);_(@_)</c:formatCode>
                <c:ptCount val="6"/>
                <c:pt idx="0">
                  <c:v>6.0943310657596372</c:v>
                </c:pt>
                <c:pt idx="1">
                  <c:v>7.7925653969710877</c:v>
                </c:pt>
                <c:pt idx="2">
                  <c:v>6.4590547496490407</c:v>
                </c:pt>
                <c:pt idx="3">
                  <c:v>10.886756238003839</c:v>
                </c:pt>
                <c:pt idx="4">
                  <c:v>9.0399999999999991</c:v>
                </c:pt>
                <c:pt idx="5">
                  <c:v>7.3682987607758621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D9D-48E5-A37C-BAFC1676F1AD}"/>
            </c:ext>
          </c:extLst>
        </c:ser>
        <c:ser>
          <c:idx val="2"/>
          <c:order val="1"/>
          <c:tx>
            <c:v>Capital spending per share</c:v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'Cash Flow Generation'!$B$12:$G$12</c:f>
              <c:numCache>
                <c:formatCode>General</c:formatCode>
                <c:ptCount val="6"/>
                <c:pt idx="0">
                  <c:v>2020</c:v>
                </c:pt>
                <c:pt idx="1">
                  <c:v>2019</c:v>
                </c:pt>
                <c:pt idx="2">
                  <c:v>2018</c:v>
                </c:pt>
                <c:pt idx="3">
                  <c:v>2017</c:v>
                </c:pt>
                <c:pt idx="4">
                  <c:v>2016</c:v>
                </c:pt>
                <c:pt idx="5">
                  <c:v>2015</c:v>
                </c:pt>
              </c:numCache>
            </c:numRef>
          </c:xVal>
          <c:yVal>
            <c:numRef>
              <c:f>'Cash Flow Generation'!$B$15:$F$15</c:f>
              <c:numCache>
                <c:formatCode>_("$"* #,##0.00_);_("$"* \(#,##0.00\);_("$"* "-"??_);_(@_)</c:formatCode>
                <c:ptCount val="5"/>
                <c:pt idx="0">
                  <c:v>1.9383219954648525</c:v>
                </c:pt>
                <c:pt idx="1">
                  <c:v>-0.49196879302432306</c:v>
                </c:pt>
                <c:pt idx="2">
                  <c:v>-2.4922788956481048</c:v>
                </c:pt>
                <c:pt idx="3">
                  <c:v>0.37332053742802301</c:v>
                </c:pt>
                <c:pt idx="4">
                  <c:v>7.2679090909090913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D9D-48E5-A37C-BAFC1676F1AD}"/>
            </c:ext>
          </c:extLst>
        </c:ser>
        <c:ser>
          <c:idx val="1"/>
          <c:order val="2"/>
          <c:tx>
            <c:v>Free cash flow per share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'Cash Flow Generation'!$B$12:$G$12</c:f>
              <c:numCache>
                <c:formatCode>General</c:formatCode>
                <c:ptCount val="6"/>
                <c:pt idx="0">
                  <c:v>2020</c:v>
                </c:pt>
                <c:pt idx="1">
                  <c:v>2019</c:v>
                </c:pt>
                <c:pt idx="2">
                  <c:v>2018</c:v>
                </c:pt>
                <c:pt idx="3">
                  <c:v>2017</c:v>
                </c:pt>
                <c:pt idx="4">
                  <c:v>2016</c:v>
                </c:pt>
                <c:pt idx="5">
                  <c:v>2015</c:v>
                </c:pt>
              </c:numCache>
            </c:numRef>
          </c:xVal>
          <c:yVal>
            <c:numRef>
              <c:f>'Cash Flow Generation'!$B$16:$F$16</c:f>
              <c:numCache>
                <c:formatCode>_("$"* #,##0.00_);_("$"* \(#,##0.00\);_("$"* "-"??_);_(@_)</c:formatCode>
                <c:ptCount val="5"/>
                <c:pt idx="0">
                  <c:v>-1.350390022675737</c:v>
                </c:pt>
                <c:pt idx="1">
                  <c:v>0.44918770078017439</c:v>
                </c:pt>
                <c:pt idx="2">
                  <c:v>2.0885914833879271</c:v>
                </c:pt>
                <c:pt idx="3">
                  <c:v>0.92464491362763912</c:v>
                </c:pt>
                <c:pt idx="4">
                  <c:v>-7.3598363636363633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D9D-48E5-A37C-BAFC1676F1AD}"/>
            </c:ext>
          </c:extLst>
        </c:ser>
        <c:ser>
          <c:idx val="3"/>
          <c:order val="3"/>
          <c:tx>
            <c:v>CF per share (modified)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'Cash Flow Generation'!$B$12:$G$12</c:f>
              <c:numCache>
                <c:formatCode>General</c:formatCode>
                <c:ptCount val="6"/>
                <c:pt idx="0">
                  <c:v>2020</c:v>
                </c:pt>
                <c:pt idx="1">
                  <c:v>2019</c:v>
                </c:pt>
                <c:pt idx="2">
                  <c:v>2018</c:v>
                </c:pt>
                <c:pt idx="3">
                  <c:v>2017</c:v>
                </c:pt>
                <c:pt idx="4">
                  <c:v>2016</c:v>
                </c:pt>
                <c:pt idx="5">
                  <c:v>2015</c:v>
                </c:pt>
              </c:numCache>
            </c:numRef>
          </c:xVal>
          <c:yVal>
            <c:numRef>
              <c:f>'Cash Flow Generation'!$B$14:$G$14</c:f>
              <c:numCache>
                <c:formatCode>_("$"* #,##0.00_);_("$"* \(#,##0.00\);_("$"* "-"??_);_(@_)</c:formatCode>
                <c:ptCount val="6"/>
                <c:pt idx="0">
                  <c:v>0.69841269841269837</c:v>
                </c:pt>
                <c:pt idx="1">
                  <c:v>-3.9926571821936666E-2</c:v>
                </c:pt>
                <c:pt idx="2">
                  <c:v>-0.63734206832007489</c:v>
                </c:pt>
                <c:pt idx="3">
                  <c:v>3.0091170825335891</c:v>
                </c:pt>
                <c:pt idx="4">
                  <c:v>0.47030303030303028</c:v>
                </c:pt>
                <c:pt idx="5">
                  <c:v>0.37570043103448275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D9D-48E5-A37C-BAFC1676F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68520"/>
        <c:axId val="412262944"/>
      </c:scatterChart>
      <c:valAx>
        <c:axId val="412268520"/>
        <c:scaling>
          <c:orientation val="minMax"/>
          <c:max val="2020"/>
          <c:min val="2016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Year</a:t>
                </a:r>
              </a:p>
            </c:rich>
          </c:tx>
          <c:layout>
            <c:manualLayout>
              <c:xMode val="edge"/>
              <c:yMode val="edge"/>
              <c:x val="0.4817420108443855"/>
              <c:y val="0.898284892402171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2944"/>
        <c:crosses val="autoZero"/>
        <c:crossBetween val="midCat"/>
        <c:majorUnit val="1"/>
      </c:valAx>
      <c:valAx>
        <c:axId val="412262944"/>
        <c:scaling>
          <c:orientation val="minMax"/>
          <c:min val="-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Dollars</a:t>
                </a:r>
              </a:p>
            </c:rich>
          </c:tx>
          <c:layout>
            <c:manualLayout>
              <c:xMode val="edge"/>
              <c:yMode val="edge"/>
              <c:x val="0"/>
              <c:y val="0.406385518258832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8520"/>
        <c:crosses val="autoZero"/>
        <c:crossBetween val="midCat"/>
      </c:valAx>
      <c:spPr>
        <a:noFill/>
        <a:ln w="15875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4.5880883832252247E-3"/>
          <c:y val="0.88042074406859994"/>
          <c:w val="0.47323169956178385"/>
          <c:h val="0.11755598835426298"/>
        </c:manualLayout>
      </c:layout>
      <c:overlay val="0"/>
      <c:spPr>
        <a:noFill/>
        <a:ln w="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baseline="0"/>
              <a:t>Day Sales Outstanding (365) Ratio</a:t>
            </a:r>
            <a:endParaRPr lang="en-US" sz="1600" b="1"/>
          </a:p>
        </c:rich>
      </c:tx>
      <c:layout>
        <c:manualLayout>
          <c:xMode val="edge"/>
          <c:yMode val="edge"/>
          <c:x val="0.32243805427405275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4325505567310688E-2"/>
          <c:y val="4.0702219085565226E-2"/>
          <c:w val="0.87602691734017823"/>
          <c:h val="0.81099853107459996"/>
        </c:manualLayout>
      </c:layout>
      <c:scatterChart>
        <c:scatterStyle val="smoothMarker"/>
        <c:varyColors val="0"/>
        <c:ser>
          <c:idx val="0"/>
          <c:order val="0"/>
          <c:tx>
            <c:v>Lions Gate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Ratios!$C$3:$G$3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Ratios!$C$26:$G$26</c:f>
              <c:numCache>
                <c:formatCode>0.00</c:formatCode>
                <c:ptCount val="5"/>
                <c:pt idx="0">
                  <c:v>54.008740359897175</c:v>
                </c:pt>
                <c:pt idx="1">
                  <c:v>81.647738079065348</c:v>
                </c:pt>
                <c:pt idx="2">
                  <c:v>112.37025017558305</c:v>
                </c:pt>
                <c:pt idx="3">
                  <c:v>139.22786193971575</c:v>
                </c:pt>
                <c:pt idx="4">
                  <c:v>163.15386601199017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E1D-4818-A5D5-04068DEA4226}"/>
            </c:ext>
          </c:extLst>
        </c:ser>
        <c:ser>
          <c:idx val="2"/>
          <c:order val="1"/>
          <c:tx>
            <c:v>Industry</c:v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'Industry Ratios'!$B$1:$F$1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'Industry Ratios'!$B$23:$F$23</c:f>
              <c:numCache>
                <c:formatCode>0.00</c:formatCode>
                <c:ptCount val="5"/>
                <c:pt idx="0">
                  <c:v>39.247311827956985</c:v>
                </c:pt>
                <c:pt idx="1">
                  <c:v>29.43548387096774</c:v>
                </c:pt>
                <c:pt idx="2">
                  <c:v>30.165289256198349</c:v>
                </c:pt>
                <c:pt idx="3">
                  <c:v>29.43548387096774</c:v>
                </c:pt>
                <c:pt idx="4">
                  <c:v>28.294573643410853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E1D-4818-A5D5-04068DEA42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68520"/>
        <c:axId val="412262944"/>
      </c:scatterChart>
      <c:valAx>
        <c:axId val="412268520"/>
        <c:scaling>
          <c:orientation val="minMax"/>
          <c:max val="2019"/>
          <c:min val="20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Year</a:t>
                </a:r>
              </a:p>
            </c:rich>
          </c:tx>
          <c:layout>
            <c:manualLayout>
              <c:xMode val="edge"/>
              <c:yMode val="edge"/>
              <c:x val="0.4817420108443855"/>
              <c:y val="0.898284892402171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2944"/>
        <c:crosses val="autoZero"/>
        <c:crossBetween val="midCat"/>
        <c:majorUnit val="1"/>
      </c:valAx>
      <c:valAx>
        <c:axId val="412262944"/>
        <c:scaling>
          <c:orientation val="minMax"/>
          <c:min val="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Days</a:t>
                </a:r>
              </a:p>
            </c:rich>
          </c:tx>
          <c:layout>
            <c:manualLayout>
              <c:xMode val="edge"/>
              <c:yMode val="edge"/>
              <c:x val="0"/>
              <c:y val="0.406385518258832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8520"/>
        <c:crosses val="autoZero"/>
        <c:crossBetween val="midCat"/>
      </c:valAx>
      <c:spPr>
        <a:noFill/>
        <a:ln w="15875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3232370941298669"/>
          <c:y val="0.93707230788472184"/>
          <c:w val="0.36568871553071752"/>
          <c:h val="4.5838831700201386E-2"/>
        </c:manualLayout>
      </c:layout>
      <c:overlay val="0"/>
      <c:spPr>
        <a:noFill/>
        <a:ln w="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baseline="0"/>
              <a:t>Fixed Asset Turnover Ratio</a:t>
            </a:r>
            <a:endParaRPr lang="en-US" sz="1600" b="1"/>
          </a:p>
        </c:rich>
      </c:tx>
      <c:layout>
        <c:manualLayout>
          <c:xMode val="edge"/>
          <c:yMode val="edge"/>
          <c:x val="0.3797067767410131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823682261584694E-2"/>
          <c:y val="4.0702219085565226E-2"/>
          <c:w val="0.89511644485319175"/>
          <c:h val="0.81099853107459996"/>
        </c:manualLayout>
      </c:layout>
      <c:scatterChart>
        <c:scatterStyle val="smoothMarker"/>
        <c:varyColors val="0"/>
        <c:ser>
          <c:idx val="0"/>
          <c:order val="0"/>
          <c:tx>
            <c:v>Lions Gate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Ratios!$C$3:$G$3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Ratios!$C$27:$G$27</c:f>
              <c:numCache>
                <c:formatCode>0.00</c:formatCode>
                <c:ptCount val="5"/>
                <c:pt idx="0">
                  <c:v>26.266036461850103</c:v>
                </c:pt>
                <c:pt idx="1">
                  <c:v>23.220820189274448</c:v>
                </c:pt>
                <c:pt idx="2">
                  <c:v>25.238997555012226</c:v>
                </c:pt>
                <c:pt idx="3">
                  <c:v>30.653376993929644</c:v>
                </c:pt>
                <c:pt idx="4">
                  <c:v>54.107943020468376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D6A-4162-969A-6B3A08DE0535}"/>
            </c:ext>
          </c:extLst>
        </c:ser>
        <c:ser>
          <c:idx val="2"/>
          <c:order val="1"/>
          <c:tx>
            <c:v>Industry</c:v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'Industry Ratios'!$B$1:$F$1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'Industry Ratios'!$B$24:$F$24</c:f>
              <c:numCache>
                <c:formatCode>0.00</c:formatCode>
                <c:ptCount val="5"/>
                <c:pt idx="0">
                  <c:v>15.894102564102564</c:v>
                </c:pt>
                <c:pt idx="1">
                  <c:v>15.486153846153844</c:v>
                </c:pt>
                <c:pt idx="2">
                  <c:v>13.820263157894736</c:v>
                </c:pt>
                <c:pt idx="3">
                  <c:v>15.05432432432433</c:v>
                </c:pt>
                <c:pt idx="4">
                  <c:v>14.490555555555552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D6A-4162-969A-6B3A08DE05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68520"/>
        <c:axId val="412262944"/>
      </c:scatterChart>
      <c:valAx>
        <c:axId val="412268520"/>
        <c:scaling>
          <c:orientation val="minMax"/>
          <c:max val="2019"/>
          <c:min val="20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Year</a:t>
                </a:r>
              </a:p>
            </c:rich>
          </c:tx>
          <c:layout>
            <c:manualLayout>
              <c:xMode val="edge"/>
              <c:yMode val="edge"/>
              <c:x val="0.4817420108443855"/>
              <c:y val="0.898284892402171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2944"/>
        <c:crosses val="autoZero"/>
        <c:crossBetween val="midCat"/>
        <c:majorUnit val="1"/>
      </c:valAx>
      <c:valAx>
        <c:axId val="412262944"/>
        <c:scaling>
          <c:orientation val="minMax"/>
          <c:max val="5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Times</a:t>
                </a:r>
              </a:p>
            </c:rich>
          </c:tx>
          <c:layout>
            <c:manualLayout>
              <c:xMode val="edge"/>
              <c:yMode val="edge"/>
              <c:x val="0"/>
              <c:y val="0.406385518258832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8520"/>
        <c:crosses val="autoZero"/>
        <c:crossBetween val="midCat"/>
        <c:majorUnit val="5"/>
      </c:valAx>
      <c:spPr>
        <a:noFill/>
        <a:ln w="15875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3232370941298669"/>
          <c:y val="0.93707230788472184"/>
          <c:w val="0.36568871553071752"/>
          <c:h val="4.5838831700201386E-2"/>
        </c:manualLayout>
      </c:layout>
      <c:overlay val="0"/>
      <c:spPr>
        <a:noFill/>
        <a:ln w="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baseline="0"/>
              <a:t>Total Asset Turnover Ratio</a:t>
            </a:r>
            <a:endParaRPr lang="en-US" sz="1600" b="1"/>
          </a:p>
        </c:rich>
      </c:tx>
      <c:layout>
        <c:manualLayout>
          <c:xMode val="edge"/>
          <c:yMode val="edge"/>
          <c:x val="0.3620856313665637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823682261584694E-2"/>
          <c:y val="4.0702219085565226E-2"/>
          <c:w val="0.89511644485319175"/>
          <c:h val="0.81099853107459996"/>
        </c:manualLayout>
      </c:layout>
      <c:scatterChart>
        <c:scatterStyle val="smoothMarker"/>
        <c:varyColors val="0"/>
        <c:ser>
          <c:idx val="0"/>
          <c:order val="0"/>
          <c:tx>
            <c:v>Lions Gate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Ratios!$C$3:$G$3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Ratios!$C$28:$G$28</c:f>
              <c:numCache>
                <c:formatCode>0.00</c:formatCode>
                <c:ptCount val="5"/>
                <c:pt idx="0">
                  <c:v>0.47554721548156798</c:v>
                </c:pt>
                <c:pt idx="1">
                  <c:v>0.42361810491180618</c:v>
                </c:pt>
                <c:pt idx="2">
                  <c:v>0.45463403892207327</c:v>
                </c:pt>
                <c:pt idx="3">
                  <c:v>0.49056082218698649</c:v>
                </c:pt>
                <c:pt idx="4">
                  <c:v>0.60884817253653734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60B-40FA-9B0F-ECB8AA116A5A}"/>
            </c:ext>
          </c:extLst>
        </c:ser>
        <c:ser>
          <c:idx val="2"/>
          <c:order val="1"/>
          <c:tx>
            <c:v>Industry</c:v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'Industry Ratios'!$B$1:$F$1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'Industry Ratios'!$B$25:$F$25</c:f>
              <c:numCache>
                <c:formatCode>0.00</c:formatCode>
                <c:ptCount val="5"/>
                <c:pt idx="0">
                  <c:v>0.64794871794871789</c:v>
                </c:pt>
                <c:pt idx="1">
                  <c:v>0.6661538461538461</c:v>
                </c:pt>
                <c:pt idx="2">
                  <c:v>0.67815789473684207</c:v>
                </c:pt>
                <c:pt idx="3">
                  <c:v>0.68243243243243268</c:v>
                </c:pt>
                <c:pt idx="4">
                  <c:v>0.65194444444444433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60B-40FA-9B0F-ECB8AA116A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68520"/>
        <c:axId val="412262944"/>
      </c:scatterChart>
      <c:valAx>
        <c:axId val="412268520"/>
        <c:scaling>
          <c:orientation val="minMax"/>
          <c:max val="2019"/>
          <c:min val="20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Year</a:t>
                </a:r>
              </a:p>
            </c:rich>
          </c:tx>
          <c:layout>
            <c:manualLayout>
              <c:xMode val="edge"/>
              <c:yMode val="edge"/>
              <c:x val="0.4817420108443855"/>
              <c:y val="0.898284892402171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2944"/>
        <c:crosses val="autoZero"/>
        <c:crossBetween val="midCat"/>
        <c:majorUnit val="1"/>
      </c:valAx>
      <c:valAx>
        <c:axId val="412262944"/>
        <c:scaling>
          <c:orientation val="minMax"/>
          <c:min val="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Times</a:t>
                </a:r>
              </a:p>
            </c:rich>
          </c:tx>
          <c:layout>
            <c:manualLayout>
              <c:xMode val="edge"/>
              <c:yMode val="edge"/>
              <c:x val="0"/>
              <c:y val="0.406385518258832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8520"/>
        <c:crosses val="autoZero"/>
        <c:crossBetween val="midCat"/>
        <c:majorUnit val="5.000000000000001E-2"/>
        <c:minorUnit val="1.0000000000000002E-2"/>
      </c:valAx>
      <c:spPr>
        <a:noFill/>
        <a:ln w="15875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3232370941298669"/>
          <c:y val="0.93707230788472184"/>
          <c:w val="0.36568871553071752"/>
          <c:h val="4.5838831700201386E-2"/>
        </c:manualLayout>
      </c:layout>
      <c:overlay val="0"/>
      <c:spPr>
        <a:noFill/>
        <a:ln w="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baseline="0"/>
              <a:t>Profit Margin Ratio</a:t>
            </a:r>
            <a:endParaRPr lang="en-US" sz="1600" b="1"/>
          </a:p>
        </c:rich>
      </c:tx>
      <c:layout>
        <c:manualLayout>
          <c:xMode val="edge"/>
          <c:yMode val="edge"/>
          <c:x val="0.435507101535844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75413645981477"/>
          <c:y val="4.0702219085565226E-2"/>
          <c:w val="0.86281105830934113"/>
          <c:h val="0.81099853107459996"/>
        </c:manualLayout>
      </c:layout>
      <c:scatterChart>
        <c:scatterStyle val="smoothMarker"/>
        <c:varyColors val="0"/>
        <c:ser>
          <c:idx val="0"/>
          <c:order val="0"/>
          <c:tx>
            <c:v>Lions Gate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Ratios!$C$3:$G$3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Ratios!$C$8:$G$8</c:f>
              <c:numCache>
                <c:formatCode>0.00%</c:formatCode>
                <c:ptCount val="5"/>
                <c:pt idx="0">
                  <c:v>-5.305912596401028E-2</c:v>
                </c:pt>
                <c:pt idx="1">
                  <c:v>-8.140198342616492E-2</c:v>
                </c:pt>
                <c:pt idx="2">
                  <c:v>0.11336610883727689</c:v>
                </c:pt>
                <c:pt idx="3">
                  <c:v>4.5291269717320009E-3</c:v>
                </c:pt>
                <c:pt idx="4">
                  <c:v>1.8190191014045638E-2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DDD-430A-88F5-CB74CC54429F}"/>
            </c:ext>
          </c:extLst>
        </c:ser>
        <c:ser>
          <c:idx val="2"/>
          <c:order val="1"/>
          <c:tx>
            <c:v>Industry</c:v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'Industry Ratios'!$B$1:$F$1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'Industry Ratios'!$B$6:$F$6</c:f>
              <c:numCache>
                <c:formatCode>0.00%</c:formatCode>
                <c:ptCount val="5"/>
                <c:pt idx="0">
                  <c:v>5.3182051282051272E-2</c:v>
                </c:pt>
                <c:pt idx="1">
                  <c:v>7.5102564102564107E-2</c:v>
                </c:pt>
                <c:pt idx="2">
                  <c:v>0.10917500000000001</c:v>
                </c:pt>
                <c:pt idx="3">
                  <c:v>7.1500000000000008E-2</c:v>
                </c:pt>
                <c:pt idx="4">
                  <c:v>5.6000000000000008E-2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DDD-430A-88F5-CB74CC5442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68520"/>
        <c:axId val="412262944"/>
      </c:scatterChart>
      <c:valAx>
        <c:axId val="412268520"/>
        <c:scaling>
          <c:orientation val="minMax"/>
          <c:max val="2019"/>
          <c:min val="20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Year</a:t>
                </a:r>
              </a:p>
            </c:rich>
          </c:tx>
          <c:layout>
            <c:manualLayout>
              <c:xMode val="edge"/>
              <c:yMode val="edge"/>
              <c:x val="0.4817420108443855"/>
              <c:y val="0.898284892402171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2944"/>
        <c:crosses val="autoZero"/>
        <c:crossBetween val="midCat"/>
        <c:majorUnit val="1"/>
      </c:valAx>
      <c:valAx>
        <c:axId val="412262944"/>
        <c:scaling>
          <c:orientation val="minMax"/>
          <c:max val="0.12000000000000001"/>
          <c:min val="-0.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Percentage</a:t>
                </a:r>
              </a:p>
            </c:rich>
          </c:tx>
          <c:layout>
            <c:manualLayout>
              <c:xMode val="edge"/>
              <c:yMode val="edge"/>
              <c:x val="0"/>
              <c:y val="0.406385518258832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8520"/>
        <c:crosses val="autoZero"/>
        <c:crossBetween val="midCat"/>
        <c:majorUnit val="2.0000000000000004E-2"/>
      </c:valAx>
      <c:spPr>
        <a:noFill/>
        <a:ln w="15875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3232370941298669"/>
          <c:y val="0.93707230788472184"/>
          <c:w val="0.36568871553071752"/>
          <c:h val="4.5838831700201386E-2"/>
        </c:manualLayout>
      </c:layout>
      <c:overlay val="0"/>
      <c:spPr>
        <a:noFill/>
        <a:ln w="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baseline="0"/>
              <a:t>Gross Margin Ratio</a:t>
            </a:r>
            <a:endParaRPr lang="en-US" sz="1600" b="1"/>
          </a:p>
        </c:rich>
      </c:tx>
      <c:layout>
        <c:manualLayout>
          <c:xMode val="edge"/>
          <c:yMode val="edge"/>
          <c:x val="0.435507101535844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75413645981477"/>
          <c:y val="4.0702219085565226E-2"/>
          <c:w val="0.86281105830934113"/>
          <c:h val="0.81099853107459996"/>
        </c:manualLayout>
      </c:layout>
      <c:scatterChart>
        <c:scatterStyle val="smoothMarker"/>
        <c:varyColors val="0"/>
        <c:ser>
          <c:idx val="0"/>
          <c:order val="0"/>
          <c:tx>
            <c:v>Lions Gate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Ratios!$C$3:$G$3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Ratios!$C$4:$G$4</c:f>
              <c:numCache>
                <c:formatCode>0.00%</c:formatCode>
                <c:ptCount val="5"/>
                <c:pt idx="0">
                  <c:v>0.42773778920308481</c:v>
                </c:pt>
                <c:pt idx="1">
                  <c:v>0.44893356880858581</c:v>
                </c:pt>
                <c:pt idx="2">
                  <c:v>0.4406529267879199</c:v>
                </c:pt>
                <c:pt idx="3">
                  <c:v>0.4053412462908012</c:v>
                </c:pt>
                <c:pt idx="4">
                  <c:v>0.39706375385050557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911-497C-81AE-810C6AC1B9F6}"/>
            </c:ext>
          </c:extLst>
        </c:ser>
        <c:ser>
          <c:idx val="2"/>
          <c:order val="1"/>
          <c:tx>
            <c:v>Industry</c:v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'Industry Ratios'!$B$1:$F$1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'Industry Ratios'!$B$2:$F$2</c:f>
              <c:numCache>
                <c:formatCode>0.00%</c:formatCode>
                <c:ptCount val="5"/>
                <c:pt idx="0">
                  <c:v>0.44926842105263154</c:v>
                </c:pt>
                <c:pt idx="1">
                  <c:v>0.45627368421052644</c:v>
                </c:pt>
                <c:pt idx="2">
                  <c:v>0.4540820512820512</c:v>
                </c:pt>
                <c:pt idx="3">
                  <c:v>0.45683000000000001</c:v>
                </c:pt>
                <c:pt idx="4">
                  <c:v>0.46651052631578943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911-497C-81AE-810C6AC1B9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68520"/>
        <c:axId val="412262944"/>
      </c:scatterChart>
      <c:valAx>
        <c:axId val="412268520"/>
        <c:scaling>
          <c:orientation val="minMax"/>
          <c:max val="2019"/>
          <c:min val="20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Year</a:t>
                </a:r>
              </a:p>
            </c:rich>
          </c:tx>
          <c:layout>
            <c:manualLayout>
              <c:xMode val="edge"/>
              <c:yMode val="edge"/>
              <c:x val="0.4817420108443855"/>
              <c:y val="0.898284892402171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2944"/>
        <c:crosses val="autoZero"/>
        <c:crossBetween val="midCat"/>
        <c:majorUnit val="1"/>
      </c:valAx>
      <c:valAx>
        <c:axId val="412262944"/>
        <c:scaling>
          <c:orientation val="minMax"/>
          <c:max val="0.60000000000000009"/>
          <c:min val="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Percentage</a:t>
                </a:r>
              </a:p>
            </c:rich>
          </c:tx>
          <c:layout>
            <c:manualLayout>
              <c:xMode val="edge"/>
              <c:yMode val="edge"/>
              <c:x val="0"/>
              <c:y val="0.406385518258832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8520"/>
        <c:crosses val="autoZero"/>
        <c:crossBetween val="midCat"/>
        <c:majorUnit val="5.000000000000001E-2"/>
      </c:valAx>
      <c:spPr>
        <a:noFill/>
        <a:ln w="15875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3232370941298669"/>
          <c:y val="0.93707230788472184"/>
          <c:w val="0.36568871553071752"/>
          <c:h val="4.5838831700201386E-2"/>
        </c:manualLayout>
      </c:layout>
      <c:overlay val="0"/>
      <c:spPr>
        <a:noFill/>
        <a:ln w="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baseline="0"/>
              <a:t>Operating Profit Margin Ratio</a:t>
            </a:r>
            <a:endParaRPr lang="en-US" sz="1600" b="1"/>
          </a:p>
        </c:rich>
      </c:tx>
      <c:layout>
        <c:manualLayout>
          <c:xMode val="edge"/>
          <c:yMode val="edge"/>
          <c:x val="0.40467006602148298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313607825453536"/>
          <c:y val="4.0702249092914984E-2"/>
          <c:w val="0.86281105830934113"/>
          <c:h val="0.81099853107459996"/>
        </c:manualLayout>
      </c:layout>
      <c:scatterChart>
        <c:scatterStyle val="smoothMarker"/>
        <c:varyColors val="0"/>
        <c:ser>
          <c:idx val="0"/>
          <c:order val="0"/>
          <c:tx>
            <c:v>Lions Gate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Ratios!$C$3:$G$3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Ratios!$C$5:$G$5</c:f>
              <c:numCache>
                <c:formatCode>0.00%</c:formatCode>
                <c:ptCount val="5"/>
                <c:pt idx="0">
                  <c:v>7.1979434447300768E-4</c:v>
                </c:pt>
                <c:pt idx="1">
                  <c:v>3.5321287868496129E-2</c:v>
                </c:pt>
                <c:pt idx="2">
                  <c:v>6.0231043084449397E-2</c:v>
                </c:pt>
                <c:pt idx="3">
                  <c:v>-5.091363423395283E-3</c:v>
                </c:pt>
                <c:pt idx="4">
                  <c:v>-1.0662774732589283E-2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3D1-4096-B448-152CA2FA2D63}"/>
            </c:ext>
          </c:extLst>
        </c:ser>
        <c:ser>
          <c:idx val="2"/>
          <c:order val="1"/>
          <c:tx>
            <c:v>Industry</c:v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'Industry Ratios'!$B$1:$F$1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'Industry Ratios'!$B$3:$F$3</c:f>
              <c:numCache>
                <c:formatCode>0.00%</c:formatCode>
                <c:ptCount val="5"/>
                <c:pt idx="0">
                  <c:v>8.3266666666666656E-2</c:v>
                </c:pt>
                <c:pt idx="1">
                  <c:v>0.10515897435897434</c:v>
                </c:pt>
                <c:pt idx="2">
                  <c:v>0.1077375</c:v>
                </c:pt>
                <c:pt idx="3">
                  <c:v>0.11708000000000002</c:v>
                </c:pt>
                <c:pt idx="4">
                  <c:v>0.10187631578947372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3D1-4096-B448-152CA2FA2D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68520"/>
        <c:axId val="412262944"/>
      </c:scatterChart>
      <c:valAx>
        <c:axId val="412268520"/>
        <c:scaling>
          <c:orientation val="minMax"/>
          <c:max val="2019"/>
          <c:min val="20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Year</a:t>
                </a:r>
              </a:p>
            </c:rich>
          </c:tx>
          <c:layout>
            <c:manualLayout>
              <c:xMode val="edge"/>
              <c:yMode val="edge"/>
              <c:x val="0.4817420108443855"/>
              <c:y val="0.898284892402171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2944"/>
        <c:crosses val="autoZero"/>
        <c:crossBetween val="midCat"/>
        <c:majorUnit val="1"/>
      </c:valAx>
      <c:valAx>
        <c:axId val="412262944"/>
        <c:scaling>
          <c:orientation val="minMax"/>
          <c:max val="0.12000000000000001"/>
          <c:min val="-2.0000000000000004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Percentage</a:t>
                </a:r>
              </a:p>
            </c:rich>
          </c:tx>
          <c:layout>
            <c:manualLayout>
              <c:xMode val="edge"/>
              <c:yMode val="edge"/>
              <c:x val="0"/>
              <c:y val="0.406385518258832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8520"/>
        <c:crosses val="autoZero"/>
        <c:crossBetween val="midCat"/>
        <c:majorUnit val="2.0000000000000004E-2"/>
      </c:valAx>
      <c:spPr>
        <a:noFill/>
        <a:ln w="15875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3232370941298669"/>
          <c:y val="0.93707230788472184"/>
          <c:w val="0.36568871553071752"/>
          <c:h val="4.5838831700201386E-2"/>
        </c:manualLayout>
      </c:layout>
      <c:overlay val="0"/>
      <c:spPr>
        <a:noFill/>
        <a:ln w="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baseline="0"/>
              <a:t>EBITDA Margin Ratio</a:t>
            </a:r>
            <a:endParaRPr lang="en-US" sz="1600" b="1"/>
          </a:p>
        </c:rich>
      </c:tx>
      <c:layout>
        <c:manualLayout>
          <c:xMode val="edge"/>
          <c:yMode val="edge"/>
          <c:x val="0.435507101535844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75413645981477"/>
          <c:y val="4.0702219085565226E-2"/>
          <c:w val="0.86281105830934113"/>
          <c:h val="0.81099853107459996"/>
        </c:manualLayout>
      </c:layout>
      <c:scatterChart>
        <c:scatterStyle val="smoothMarker"/>
        <c:varyColors val="0"/>
        <c:ser>
          <c:idx val="0"/>
          <c:order val="0"/>
          <c:tx>
            <c:v>Lions Gate - EBITDA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Ratios!$C$3:$G$3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Ratios!$C$7:$G$7</c:f>
              <c:numCache>
                <c:formatCode>0.00%</c:formatCode>
                <c:ptCount val="5"/>
                <c:pt idx="0">
                  <c:v>0.48349614395886892</c:v>
                </c:pt>
                <c:pt idx="1">
                  <c:v>0.39709278630620842</c:v>
                </c:pt>
                <c:pt idx="2">
                  <c:v>0.6019471555544792</c:v>
                </c:pt>
                <c:pt idx="3">
                  <c:v>0.44938310167109169</c:v>
                </c:pt>
                <c:pt idx="4">
                  <c:v>0.46580904389033234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54C-441A-8298-124995EB2604}"/>
            </c:ext>
          </c:extLst>
        </c:ser>
        <c:ser>
          <c:idx val="2"/>
          <c:order val="1"/>
          <c:tx>
            <c:v>Industry</c:v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'Industry Ratios'!$B$1:$F$1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'Industry Ratios'!$B$5:$F$5</c:f>
              <c:numCache>
                <c:formatCode>0.00%</c:formatCode>
                <c:ptCount val="5"/>
                <c:pt idx="0">
                  <c:v>0.15120769230769232</c:v>
                </c:pt>
                <c:pt idx="1">
                  <c:v>0.1689128205128205</c:v>
                </c:pt>
                <c:pt idx="2">
                  <c:v>0.17878999999999995</c:v>
                </c:pt>
                <c:pt idx="3">
                  <c:v>0.16677500000000001</c:v>
                </c:pt>
                <c:pt idx="4">
                  <c:v>0.15312631578947372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54C-441A-8298-124995EB2604}"/>
            </c:ext>
          </c:extLst>
        </c:ser>
        <c:ser>
          <c:idx val="1"/>
          <c:order val="2"/>
          <c:tx>
            <c:v>EBITDA (w/out direct amort)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Ratios!$C$3:$G$3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Ratios!$C$35:$G$35</c:f>
              <c:numCache>
                <c:formatCode>0.00%</c:formatCode>
                <c:ptCount val="5"/>
                <c:pt idx="0">
                  <c:v>4.7789203084832907E-2</c:v>
                </c:pt>
                <c:pt idx="1">
                  <c:v>1.4726260019019156E-2</c:v>
                </c:pt>
                <c:pt idx="2">
                  <c:v>0.12143082027560485</c:v>
                </c:pt>
                <c:pt idx="3">
                  <c:v>1.3712322348898954E-2</c:v>
                </c:pt>
                <c:pt idx="4">
                  <c:v>1.4541928816287165E-2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54C-441A-8298-124995EB26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68520"/>
        <c:axId val="412262944"/>
      </c:scatterChart>
      <c:valAx>
        <c:axId val="412268520"/>
        <c:scaling>
          <c:orientation val="minMax"/>
          <c:max val="2019"/>
          <c:min val="20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Year</a:t>
                </a:r>
              </a:p>
            </c:rich>
          </c:tx>
          <c:layout>
            <c:manualLayout>
              <c:xMode val="edge"/>
              <c:yMode val="edge"/>
              <c:x val="0.4817420108443855"/>
              <c:y val="0.898284892402171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2944"/>
        <c:crosses val="autoZero"/>
        <c:crossBetween val="midCat"/>
        <c:majorUnit val="1"/>
      </c:valAx>
      <c:valAx>
        <c:axId val="412262944"/>
        <c:scaling>
          <c:orientation val="minMax"/>
          <c:max val="0.65000000000000013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Percentage</a:t>
                </a:r>
              </a:p>
            </c:rich>
          </c:tx>
          <c:layout>
            <c:manualLayout>
              <c:xMode val="edge"/>
              <c:yMode val="edge"/>
              <c:x val="0"/>
              <c:y val="0.406385518258832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8520"/>
        <c:crosses val="autoZero"/>
        <c:crossBetween val="midCat"/>
        <c:majorUnit val="5.000000000000001E-2"/>
      </c:valAx>
      <c:spPr>
        <a:noFill/>
        <a:ln w="15875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5.4514666944165027E-2"/>
          <c:y val="0.90469995499424483"/>
          <c:w val="0.27847375906205557"/>
          <c:h val="8.5183707120069785E-2"/>
        </c:manualLayout>
      </c:layout>
      <c:overlay val="0"/>
      <c:spPr>
        <a:noFill/>
        <a:ln w="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baseline="0"/>
              <a:t>Return on Total Assets Ratio</a:t>
            </a:r>
            <a:endParaRPr lang="en-US" sz="1600" b="1"/>
          </a:p>
        </c:rich>
      </c:tx>
      <c:layout>
        <c:manualLayout>
          <c:xMode val="edge"/>
          <c:yMode val="edge"/>
          <c:x val="0.3723646328349926"/>
          <c:y val="2.0232675771370764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754136459814768"/>
          <c:y val="4.0702219085565226E-2"/>
          <c:w val="0.86281105830934113"/>
          <c:h val="0.81099853107459996"/>
        </c:manualLayout>
      </c:layout>
      <c:scatterChart>
        <c:scatterStyle val="smoothMarker"/>
        <c:varyColors val="0"/>
        <c:ser>
          <c:idx val="0"/>
          <c:order val="0"/>
          <c:tx>
            <c:v>Lions Gate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Ratios!$C$3:$G$3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Ratios!$C$10:$G$10</c:f>
              <c:numCache>
                <c:formatCode>0.00%</c:formatCode>
                <c:ptCount val="5"/>
                <c:pt idx="0">
                  <c:v>-2.5958345910051313E-2</c:v>
                </c:pt>
                <c:pt idx="1">
                  <c:v>-3.5628916980817944E-2</c:v>
                </c:pt>
                <c:pt idx="2">
                  <c:v>5.2199027610508944E-2</c:v>
                </c:pt>
                <c:pt idx="3">
                  <c:v>1.5766182083093215E-3</c:v>
                </c:pt>
                <c:pt idx="4">
                  <c:v>1.1075064556992231E-2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2B-44CD-9634-6564A6360407}"/>
            </c:ext>
          </c:extLst>
        </c:ser>
        <c:ser>
          <c:idx val="2"/>
          <c:order val="1"/>
          <c:tx>
            <c:v>Industry</c:v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'Industry Ratios'!$B$1:$F$1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'Industry Ratios'!$B$8:$F$8</c:f>
              <c:numCache>
                <c:formatCode>0.00%</c:formatCode>
                <c:ptCount val="5"/>
                <c:pt idx="0">
                  <c:v>3.0620512820512813E-2</c:v>
                </c:pt>
                <c:pt idx="1">
                  <c:v>4.1817948717948722E-2</c:v>
                </c:pt>
                <c:pt idx="2">
                  <c:v>5.0031578947368448E-2</c:v>
                </c:pt>
                <c:pt idx="3">
                  <c:v>3.369459459459459E-2</c:v>
                </c:pt>
                <c:pt idx="4">
                  <c:v>3.8191666666666658E-2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2B-44CD-9634-6564A63604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68520"/>
        <c:axId val="412262944"/>
      </c:scatterChart>
      <c:valAx>
        <c:axId val="412268520"/>
        <c:scaling>
          <c:orientation val="minMax"/>
          <c:max val="2019"/>
          <c:min val="20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Year</a:t>
                </a:r>
              </a:p>
            </c:rich>
          </c:tx>
          <c:layout>
            <c:manualLayout>
              <c:xMode val="edge"/>
              <c:yMode val="edge"/>
              <c:x val="0.4817420108443855"/>
              <c:y val="0.898284892402171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2944"/>
        <c:crosses val="autoZero"/>
        <c:crossBetween val="midCat"/>
        <c:majorUnit val="1"/>
      </c:valAx>
      <c:valAx>
        <c:axId val="412262944"/>
        <c:scaling>
          <c:orientation val="minMax"/>
          <c:max val="0.1"/>
          <c:min val="-6.0000000000000012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Percentage</a:t>
                </a:r>
              </a:p>
            </c:rich>
          </c:tx>
          <c:layout>
            <c:manualLayout>
              <c:xMode val="edge"/>
              <c:yMode val="edge"/>
              <c:x val="0"/>
              <c:y val="0.406385518258832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8520"/>
        <c:crosses val="autoZero"/>
        <c:crossBetween val="midCat"/>
      </c:valAx>
      <c:spPr>
        <a:noFill/>
        <a:ln w="15875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3232370941298669"/>
          <c:y val="0.93707230788472184"/>
          <c:w val="0.36568871553071752"/>
          <c:h val="4.5838831700201386E-2"/>
        </c:manualLayout>
      </c:layout>
      <c:overlay val="0"/>
      <c:spPr>
        <a:noFill/>
        <a:ln w="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baseline="0"/>
              <a:t>Return on Equity Ratio</a:t>
            </a:r>
            <a:endParaRPr lang="en-US" sz="1600" b="1"/>
          </a:p>
        </c:rich>
      </c:tx>
      <c:layout>
        <c:manualLayout>
          <c:xMode val="edge"/>
          <c:yMode val="edge"/>
          <c:x val="0.385580491865829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663093875380116"/>
          <c:y val="4.474878424718913E-2"/>
          <c:w val="0.84225305537248363"/>
          <c:h val="0.81099853107459996"/>
        </c:manualLayout>
      </c:layout>
      <c:scatterChart>
        <c:scatterStyle val="smoothMarker"/>
        <c:varyColors val="0"/>
        <c:ser>
          <c:idx val="0"/>
          <c:order val="0"/>
          <c:tx>
            <c:v>Lions Gate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Ratios!$C$3:$G$3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Ratios!$C$11:$G$11</c:f>
              <c:numCache>
                <c:formatCode>0.00%</c:formatCode>
                <c:ptCount val="5"/>
                <c:pt idx="0">
                  <c:v>-7.7652370203160265E-2</c:v>
                </c:pt>
                <c:pt idx="1">
                  <c:v>-0.10264843937369376</c:v>
                </c:pt>
                <c:pt idx="2">
                  <c:v>0.14832535885167464</c:v>
                </c:pt>
                <c:pt idx="3">
                  <c:v>5.7667833280305439E-3</c:v>
                </c:pt>
                <c:pt idx="4">
                  <c:v>5.021916490350746E-2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C43-47F0-870A-9CF0ACEDAC08}"/>
            </c:ext>
          </c:extLst>
        </c:ser>
        <c:ser>
          <c:idx val="2"/>
          <c:order val="1"/>
          <c:tx>
            <c:v>Industry</c:v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'Industry Ratios'!$B$1:$F$1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'Industry Ratios'!$B$9:$F$9</c:f>
              <c:numCache>
                <c:formatCode>0.00%</c:formatCode>
                <c:ptCount val="5"/>
                <c:pt idx="0">
                  <c:v>7.4102777777777795E-2</c:v>
                </c:pt>
                <c:pt idx="1">
                  <c:v>0.11221111111111112</c:v>
                </c:pt>
                <c:pt idx="2">
                  <c:v>0.12018285714285719</c:v>
                </c:pt>
                <c:pt idx="3">
                  <c:v>9.6238235294117652E-2</c:v>
                </c:pt>
                <c:pt idx="4">
                  <c:v>0.13126470588235292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C43-47F0-870A-9CF0ACEDAC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68520"/>
        <c:axId val="412262944"/>
      </c:scatterChart>
      <c:valAx>
        <c:axId val="412268520"/>
        <c:scaling>
          <c:orientation val="minMax"/>
          <c:max val="2019"/>
          <c:min val="20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Year</a:t>
                </a:r>
              </a:p>
            </c:rich>
          </c:tx>
          <c:layout>
            <c:manualLayout>
              <c:xMode val="edge"/>
              <c:yMode val="edge"/>
              <c:x val="0.4817420108443855"/>
              <c:y val="0.898284892402171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2944"/>
        <c:crosses val="autoZero"/>
        <c:crossBetween val="midCat"/>
        <c:majorUnit val="1"/>
      </c:valAx>
      <c:valAx>
        <c:axId val="412262944"/>
        <c:scaling>
          <c:orientation val="minMax"/>
          <c:min val="-0.1200000000000000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Percentage</a:t>
                </a:r>
              </a:p>
            </c:rich>
          </c:tx>
          <c:layout>
            <c:manualLayout>
              <c:xMode val="edge"/>
              <c:yMode val="edge"/>
              <c:x val="0"/>
              <c:y val="0.406385518258832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8520"/>
        <c:crosses val="autoZero"/>
        <c:crossBetween val="midCat"/>
        <c:majorUnit val="2.0000000000000004E-2"/>
      </c:valAx>
      <c:spPr>
        <a:noFill/>
        <a:ln w="15875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3232370941298669"/>
          <c:y val="0.93707230788472184"/>
          <c:w val="0.36568871553071752"/>
          <c:h val="4.5838831700201386E-2"/>
        </c:manualLayout>
      </c:layout>
      <c:overlay val="0"/>
      <c:spPr>
        <a:noFill/>
        <a:ln w="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Motion</a:t>
            </a:r>
            <a:r>
              <a:rPr lang="en-US" sz="1600" b="1" baseline="0"/>
              <a:t> Picture Revenues</a:t>
            </a:r>
            <a:endParaRPr lang="en-US" sz="1600" b="1"/>
          </a:p>
        </c:rich>
      </c:tx>
      <c:layout>
        <c:manualLayout>
          <c:xMode val="edge"/>
          <c:yMode val="edge"/>
          <c:x val="0.3753014903974007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823682261584694E-2"/>
          <c:y val="4.0702219085565226E-2"/>
          <c:w val="0.89511644485319175"/>
          <c:h val="0.81099853107459996"/>
        </c:manualLayout>
      </c:layout>
      <c:scatterChart>
        <c:scatterStyle val="smoothMarker"/>
        <c:varyColors val="0"/>
        <c:ser>
          <c:idx val="0"/>
          <c:order val="0"/>
          <c:tx>
            <c:v>Theatrical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'Segment Revenues'!$C$29:$G$29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'Segment Revenues'!$C$33:$G$33</c:f>
              <c:numCache>
                <c:formatCode>_("$"* #,##0.00_);_("$"* \(#,##0.00\);_("$"* "-"??_);_(@_)</c:formatCode>
                <c:ptCount val="5"/>
                <c:pt idx="0">
                  <c:v>356285.1</c:v>
                </c:pt>
                <c:pt idx="1">
                  <c:v>215331.33299999998</c:v>
                </c:pt>
                <c:pt idx="2">
                  <c:v>280423.6974</c:v>
                </c:pt>
                <c:pt idx="3">
                  <c:v>370733.7</c:v>
                </c:pt>
                <c:pt idx="4">
                  <c:v>313861.65739499999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B62-42FF-8BB3-00220572E108}"/>
            </c:ext>
          </c:extLst>
        </c:ser>
        <c:ser>
          <c:idx val="2"/>
          <c:order val="1"/>
          <c:tx>
            <c:v>Home Entertainment</c:v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'Segment Revenues'!$C$29:$G$29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'Segment Revenues'!$C$34:$G$34</c:f>
              <c:numCache>
                <c:formatCode>_("$"* #,##0.00_);_("$"* \(#,##0.00\);_("$"* "-"??_);_(@_)</c:formatCode>
                <c:ptCount val="5"/>
                <c:pt idx="0">
                  <c:v>705879.4</c:v>
                </c:pt>
                <c:pt idx="1">
                  <c:v>591794.95600000001</c:v>
                </c:pt>
                <c:pt idx="2">
                  <c:v>773896.5675</c:v>
                </c:pt>
                <c:pt idx="3">
                  <c:v>706891.2</c:v>
                </c:pt>
                <c:pt idx="4">
                  <c:v>580727.9864099999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B62-42FF-8BB3-00220572E108}"/>
            </c:ext>
          </c:extLst>
        </c:ser>
        <c:ser>
          <c:idx val="1"/>
          <c:order val="2"/>
          <c:tx>
            <c:v>Television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'Segment Revenues'!$C$29:$G$29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'Segment Revenues'!$C$35:$G$35</c:f>
              <c:numCache>
                <c:formatCode>_("$"* #,##0.00_);_("$"* \(#,##0.00\);_("$"* "-"??_);_(@_)</c:formatCode>
                <c:ptCount val="5"/>
                <c:pt idx="0">
                  <c:v>247559.59999999998</c:v>
                </c:pt>
                <c:pt idx="1">
                  <c:v>273924.89299999998</c:v>
                </c:pt>
                <c:pt idx="2">
                  <c:v>278602.76429999998</c:v>
                </c:pt>
                <c:pt idx="3">
                  <c:v>278530.5</c:v>
                </c:pt>
                <c:pt idx="4">
                  <c:v>204765.35936999999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B62-42FF-8BB3-00220572E108}"/>
            </c:ext>
          </c:extLst>
        </c:ser>
        <c:ser>
          <c:idx val="3"/>
          <c:order val="3"/>
          <c:tx>
            <c:v>International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'Segment Revenues'!$C$29:$G$29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'Segment Revenues'!$C$36:$G$36</c:f>
              <c:numCache>
                <c:formatCode>_("$"* #,##0.00_);_("$"* \(#,##0.00\);_("$"* "-"??_);_(@_)</c:formatCode>
                <c:ptCount val="5"/>
                <c:pt idx="0">
                  <c:v>341230.8</c:v>
                </c:pt>
                <c:pt idx="1">
                  <c:v>341307.48700000002</c:v>
                </c:pt>
                <c:pt idx="2">
                  <c:v>457054.20810000005</c:v>
                </c:pt>
                <c:pt idx="3">
                  <c:v>534010.20000000007</c:v>
                </c:pt>
                <c:pt idx="4">
                  <c:v>548838.29929500003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B62-42FF-8BB3-00220572E108}"/>
            </c:ext>
          </c:extLst>
        </c:ser>
        <c:ser>
          <c:idx val="4"/>
          <c:order val="4"/>
          <c:tx>
            <c:v>Other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'Segment Revenues'!$C$29:$G$29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'Segment Revenues'!$C$37:$G$37</c:f>
              <c:numCache>
                <c:formatCode>_("$"* #,##0.00_);_("$"* \(#,##0.00\);_("$"* "-"??_);_(@_)</c:formatCode>
                <c:ptCount val="5"/>
                <c:pt idx="0">
                  <c:v>21745.1</c:v>
                </c:pt>
                <c:pt idx="1">
                  <c:v>41015.491999999998</c:v>
                </c:pt>
                <c:pt idx="2">
                  <c:v>30955.862700000005</c:v>
                </c:pt>
                <c:pt idx="3">
                  <c:v>28813.5</c:v>
                </c:pt>
                <c:pt idx="4">
                  <c:v>30211.282529999997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B62-42FF-8BB3-00220572E1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68520"/>
        <c:axId val="412262944"/>
      </c:scatterChart>
      <c:valAx>
        <c:axId val="412268520"/>
        <c:scaling>
          <c:orientation val="minMax"/>
          <c:max val="2019"/>
          <c:min val="20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Year</a:t>
                </a:r>
              </a:p>
            </c:rich>
          </c:tx>
          <c:layout>
            <c:manualLayout>
              <c:xMode val="edge"/>
              <c:yMode val="edge"/>
              <c:x val="0.4817420108443855"/>
              <c:y val="0.898284892402171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2944"/>
        <c:crosses val="autoZero"/>
        <c:crossBetween val="midCat"/>
        <c:majorUnit val="1"/>
      </c:valAx>
      <c:valAx>
        <c:axId val="412262944"/>
        <c:scaling>
          <c:orientation val="minMax"/>
          <c:max val="85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Dollars</a:t>
                </a:r>
              </a:p>
            </c:rich>
          </c:tx>
          <c:layout>
            <c:manualLayout>
              <c:xMode val="edge"/>
              <c:yMode val="edge"/>
              <c:x val="0"/>
              <c:y val="0.80901580777364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8520"/>
        <c:crosses val="autoZero"/>
        <c:crossBetween val="midCat"/>
        <c:majorUnit val="50000"/>
        <c:minorUnit val="0.1"/>
      </c:valAx>
      <c:spPr>
        <a:noFill/>
        <a:ln w="15875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15877311040965697"/>
          <c:y val="0.90672322257138194"/>
          <c:w val="0.73851029634511545"/>
          <c:h val="9.3276777428618091E-2"/>
        </c:manualLayout>
      </c:layout>
      <c:overlay val="0"/>
      <c:spPr>
        <a:noFill/>
        <a:ln w="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Segment</a:t>
            </a:r>
            <a:r>
              <a:rPr lang="en-US" sz="1600" b="1" baseline="0"/>
              <a:t> Revenues Graph</a:t>
            </a:r>
            <a:endParaRPr lang="en-US" sz="1600" b="1"/>
          </a:p>
        </c:rich>
      </c:tx>
      <c:layout>
        <c:manualLayout>
          <c:xMode val="edge"/>
          <c:yMode val="edge"/>
          <c:x val="0.3753014903974007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823682261584694E-2"/>
          <c:y val="4.0702219085565226E-2"/>
          <c:w val="0.89511644485319175"/>
          <c:h val="0.81099853107459996"/>
        </c:manualLayout>
      </c:layout>
      <c:barChart>
        <c:barDir val="col"/>
        <c:grouping val="stacked"/>
        <c:varyColors val="0"/>
        <c:ser>
          <c:idx val="0"/>
          <c:order val="0"/>
          <c:tx>
            <c:v>Motion Picture</c:v>
          </c:tx>
          <c:spPr>
            <a:solidFill>
              <a:schemeClr val="accent1"/>
            </a:solidFill>
            <a:ln w="25400"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'Segment Revenues'!$B$3:$G$3</c:f>
              <c:numCache>
                <c:formatCode>General</c:formatCode>
                <c:ptCount val="6"/>
                <c:pt idx="0">
                  <c:v>2020</c:v>
                </c:pt>
                <c:pt idx="1">
                  <c:v>2019</c:v>
                </c:pt>
                <c:pt idx="2">
                  <c:v>2018</c:v>
                </c:pt>
                <c:pt idx="3">
                  <c:v>2017</c:v>
                </c:pt>
                <c:pt idx="4">
                  <c:v>2016</c:v>
                </c:pt>
                <c:pt idx="5">
                  <c:v>2015</c:v>
                </c:pt>
              </c:numCache>
            </c:numRef>
          </c:cat>
          <c:val>
            <c:numRef>
              <c:f>'Segment Revenues'!$B$4:$G$4</c:f>
              <c:numCache>
                <c:formatCode>0.00%</c:formatCode>
                <c:ptCount val="6"/>
                <c:pt idx="0">
                  <c:v>0.33</c:v>
                </c:pt>
                <c:pt idx="1">
                  <c:v>0.43</c:v>
                </c:pt>
                <c:pt idx="2">
                  <c:v>0.39800000000000002</c:v>
                </c:pt>
                <c:pt idx="3">
                  <c:v>0.441</c:v>
                </c:pt>
                <c:pt idx="4">
                  <c:v>0.6</c:v>
                </c:pt>
                <c:pt idx="5">
                  <c:v>0.71499999999999997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A9-46C3-A5CF-97FB75C679E3}"/>
            </c:ext>
          </c:extLst>
        </c:ser>
        <c:ser>
          <c:idx val="2"/>
          <c:order val="1"/>
          <c:tx>
            <c:v>Television Production</c:v>
          </c:tx>
          <c:spPr>
            <a:solidFill>
              <a:schemeClr val="accent3"/>
            </a:solidFill>
            <a:ln w="25400"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'Segment Revenues'!$B$3:$G$3</c:f>
              <c:numCache>
                <c:formatCode>General</c:formatCode>
                <c:ptCount val="6"/>
                <c:pt idx="0">
                  <c:v>2020</c:v>
                </c:pt>
                <c:pt idx="1">
                  <c:v>2019</c:v>
                </c:pt>
                <c:pt idx="2">
                  <c:v>2018</c:v>
                </c:pt>
                <c:pt idx="3">
                  <c:v>2017</c:v>
                </c:pt>
                <c:pt idx="4">
                  <c:v>2016</c:v>
                </c:pt>
                <c:pt idx="5">
                  <c:v>2015</c:v>
                </c:pt>
              </c:numCache>
            </c:numRef>
          </c:cat>
          <c:val>
            <c:numRef>
              <c:f>'Segment Revenues'!$B$11:$G$11</c:f>
              <c:numCache>
                <c:formatCode>0.00%</c:formatCode>
                <c:ptCount val="6"/>
                <c:pt idx="0">
                  <c:v>0.254</c:v>
                </c:pt>
                <c:pt idx="1">
                  <c:v>0.25700000000000001</c:v>
                </c:pt>
                <c:pt idx="2">
                  <c:v>0.25</c:v>
                </c:pt>
                <c:pt idx="3">
                  <c:v>0.19500000000000001</c:v>
                </c:pt>
                <c:pt idx="4">
                  <c:v>0.26200000000000001</c:v>
                </c:pt>
                <c:pt idx="5">
                  <c:v>0.28499999999999998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A9-46C3-A5CF-97FB75C679E3}"/>
            </c:ext>
          </c:extLst>
        </c:ser>
        <c:ser>
          <c:idx val="1"/>
          <c:order val="2"/>
          <c:tx>
            <c:v>Media Networks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'Segment Revenues'!$B$3:$G$3</c:f>
              <c:numCache>
                <c:formatCode>General</c:formatCode>
                <c:ptCount val="6"/>
                <c:pt idx="0">
                  <c:v>2020</c:v>
                </c:pt>
                <c:pt idx="1">
                  <c:v>2019</c:v>
                </c:pt>
                <c:pt idx="2">
                  <c:v>2018</c:v>
                </c:pt>
                <c:pt idx="3">
                  <c:v>2017</c:v>
                </c:pt>
                <c:pt idx="4">
                  <c:v>2016</c:v>
                </c:pt>
                <c:pt idx="5">
                  <c:v>2015</c:v>
                </c:pt>
              </c:numCache>
            </c:numRef>
          </c:cat>
          <c:val>
            <c:numRef>
              <c:f>'Segment Revenues'!$B$17:$G$17</c:f>
              <c:numCache>
                <c:formatCode>0.00%</c:formatCode>
                <c:ptCount val="6"/>
                <c:pt idx="0">
                  <c:v>0.47799999999999998</c:v>
                </c:pt>
                <c:pt idx="1">
                  <c:v>0.38200000000000001</c:v>
                </c:pt>
                <c:pt idx="2">
                  <c:v>0.39700000000000002</c:v>
                </c:pt>
                <c:pt idx="3">
                  <c:v>0.371</c:v>
                </c:pt>
                <c:pt idx="4">
                  <c:v>0.14299999999999999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CA9-46C3-A5CF-97FB75C679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2268520"/>
        <c:axId val="412262944"/>
      </c:barChart>
      <c:catAx>
        <c:axId val="41226852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Year</a:t>
                </a:r>
              </a:p>
            </c:rich>
          </c:tx>
          <c:layout>
            <c:manualLayout>
              <c:xMode val="edge"/>
              <c:yMode val="edge"/>
              <c:x val="0.4817420108443855"/>
              <c:y val="0.898284892402171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2944"/>
        <c:crosses val="autoZero"/>
        <c:auto val="1"/>
        <c:lblAlgn val="ctr"/>
        <c:lblOffset val="100"/>
        <c:tickMarkSkip val="1"/>
        <c:noMultiLvlLbl val="0"/>
      </c:catAx>
      <c:valAx>
        <c:axId val="412262944"/>
        <c:scaling>
          <c:orientation val="minMax"/>
          <c:max val="1"/>
          <c:min val="0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8520"/>
        <c:crosses val="autoZero"/>
        <c:crossBetween val="between"/>
      </c:valAx>
      <c:spPr>
        <a:noFill/>
        <a:ln w="15875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251284123625516"/>
          <c:y val="0.90874649014851894"/>
          <c:w val="0.20002717171366799"/>
          <c:h val="8.7206974697206854E-2"/>
        </c:manualLayout>
      </c:layout>
      <c:overlay val="0"/>
      <c:spPr>
        <a:noFill/>
        <a:ln w="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Motion Picture</a:t>
            </a:r>
            <a:r>
              <a:rPr lang="en-US" sz="1600" b="1" baseline="0"/>
              <a:t> Revenues Graph</a:t>
            </a:r>
            <a:endParaRPr lang="en-US" sz="1600" b="1"/>
          </a:p>
        </c:rich>
      </c:tx>
      <c:layout>
        <c:manualLayout>
          <c:xMode val="edge"/>
          <c:yMode val="edge"/>
          <c:x val="0.3753014903974007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823682261584694E-2"/>
          <c:y val="4.0702219085565226E-2"/>
          <c:w val="0.89511644485319175"/>
          <c:h val="0.8109985310745999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'Segment Revenues'!$A$5</c:f>
              <c:strCache>
                <c:ptCount val="1"/>
                <c:pt idx="0">
                  <c:v>  Theatrical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'Segment Revenues'!$C$3:$G$3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cat>
          <c:val>
            <c:numRef>
              <c:f>'Segment Revenues'!$C$5:$G$5</c:f>
              <c:numCache>
                <c:formatCode>0.00%</c:formatCode>
                <c:ptCount val="5"/>
                <c:pt idx="0">
                  <c:v>0.21299999999999999</c:v>
                </c:pt>
                <c:pt idx="1">
                  <c:v>0.14699999999999999</c:v>
                </c:pt>
                <c:pt idx="2">
                  <c:v>0.154</c:v>
                </c:pt>
                <c:pt idx="3">
                  <c:v>0.193</c:v>
                </c:pt>
                <c:pt idx="4">
                  <c:v>0.187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F9-4648-A9EB-49AFC34E8F4C}"/>
            </c:ext>
          </c:extLst>
        </c:ser>
        <c:ser>
          <c:idx val="2"/>
          <c:order val="1"/>
          <c:tx>
            <c:strRef>
              <c:f>'Segment Revenues'!$A$6</c:f>
              <c:strCache>
                <c:ptCount val="1"/>
                <c:pt idx="0">
                  <c:v>  Home Entertainment</c:v>
                </c:pt>
              </c:strCache>
            </c:strRef>
          </c:tx>
          <c:spPr>
            <a:solidFill>
              <a:schemeClr val="accent3"/>
            </a:solidFill>
            <a:ln w="25400"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'Segment Revenues'!$C$3:$G$3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cat>
          <c:val>
            <c:numRef>
              <c:f>'Segment Revenues'!$C$6:$G$6</c:f>
              <c:numCache>
                <c:formatCode>0.00%</c:formatCode>
                <c:ptCount val="5"/>
                <c:pt idx="0">
                  <c:v>0.42199999999999999</c:v>
                </c:pt>
                <c:pt idx="1">
                  <c:v>0.40400000000000003</c:v>
                </c:pt>
                <c:pt idx="2">
                  <c:v>0.42499999999999999</c:v>
                </c:pt>
                <c:pt idx="3">
                  <c:v>0.36799999999999999</c:v>
                </c:pt>
                <c:pt idx="4">
                  <c:v>0.34599999999999997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F9-4648-A9EB-49AFC34E8F4C}"/>
            </c:ext>
          </c:extLst>
        </c:ser>
        <c:ser>
          <c:idx val="1"/>
          <c:order val="2"/>
          <c:tx>
            <c:strRef>
              <c:f>'Segment Revenues'!$A$7</c:f>
              <c:strCache>
                <c:ptCount val="1"/>
                <c:pt idx="0">
                  <c:v>  Television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'Segment Revenues'!$C$7:$G$7</c:f>
              <c:numCache>
                <c:formatCode>0.00%</c:formatCode>
                <c:ptCount val="5"/>
                <c:pt idx="0">
                  <c:v>0.14799999999999999</c:v>
                </c:pt>
                <c:pt idx="1">
                  <c:v>0.187</c:v>
                </c:pt>
                <c:pt idx="2">
                  <c:v>0.153</c:v>
                </c:pt>
                <c:pt idx="3">
                  <c:v>0.14499999999999999</c:v>
                </c:pt>
                <c:pt idx="4">
                  <c:v>0.122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F9-4648-A9EB-49AFC34E8F4C}"/>
            </c:ext>
          </c:extLst>
        </c:ser>
        <c:ser>
          <c:idx val="3"/>
          <c:order val="3"/>
          <c:tx>
            <c:strRef>
              <c:f>'Segment Revenues'!$A$8</c:f>
              <c:strCache>
                <c:ptCount val="1"/>
                <c:pt idx="0">
                  <c:v>  International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'Segment Revenues'!$C$8:$G$8</c:f>
              <c:numCache>
                <c:formatCode>0.00%</c:formatCode>
                <c:ptCount val="5"/>
                <c:pt idx="0">
                  <c:v>0.20399999999999999</c:v>
                </c:pt>
                <c:pt idx="1">
                  <c:v>0.23300000000000001</c:v>
                </c:pt>
                <c:pt idx="2">
                  <c:v>0.251</c:v>
                </c:pt>
                <c:pt idx="3">
                  <c:v>0.27800000000000002</c:v>
                </c:pt>
                <c:pt idx="4">
                  <c:v>0.32700000000000001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DF9-4648-A9EB-49AFC34E8F4C}"/>
            </c:ext>
          </c:extLst>
        </c:ser>
        <c:ser>
          <c:idx val="4"/>
          <c:order val="4"/>
          <c:tx>
            <c:strRef>
              <c:f>'Segment Revenues'!$A$9</c:f>
              <c:strCache>
                <c:ptCount val="1"/>
                <c:pt idx="0">
                  <c:v>  Other (Motion Picture)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'Segment Revenues'!$C$9:$G$9</c:f>
              <c:numCache>
                <c:formatCode>0.00%</c:formatCode>
                <c:ptCount val="5"/>
                <c:pt idx="0">
                  <c:v>1.2999999999999999E-2</c:v>
                </c:pt>
                <c:pt idx="1">
                  <c:v>2.8000000000000001E-2</c:v>
                </c:pt>
                <c:pt idx="2">
                  <c:v>1.7000000000000001E-2</c:v>
                </c:pt>
                <c:pt idx="3">
                  <c:v>1.4999999999999999E-2</c:v>
                </c:pt>
                <c:pt idx="4">
                  <c:v>1.7999999999999999E-2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DF9-4648-A9EB-49AFC34E8F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2268520"/>
        <c:axId val="412262944"/>
      </c:barChart>
      <c:catAx>
        <c:axId val="41226852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Year</a:t>
                </a:r>
              </a:p>
            </c:rich>
          </c:tx>
          <c:layout>
            <c:manualLayout>
              <c:xMode val="edge"/>
              <c:yMode val="edge"/>
              <c:x val="0.4817420108443855"/>
              <c:y val="0.898284892402171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2944"/>
        <c:crosses val="autoZero"/>
        <c:auto val="1"/>
        <c:lblAlgn val="ctr"/>
        <c:lblOffset val="100"/>
        <c:tickMarkSkip val="1"/>
        <c:noMultiLvlLbl val="0"/>
      </c:catAx>
      <c:valAx>
        <c:axId val="412262944"/>
        <c:scaling>
          <c:orientation val="minMax"/>
          <c:max val="1"/>
          <c:min val="0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8520"/>
        <c:crosses val="autoZero"/>
        <c:crossBetween val="between"/>
      </c:valAx>
      <c:spPr>
        <a:noFill/>
        <a:ln w="15875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8.8288528911859579E-2"/>
          <c:y val="0.90874649014851894"/>
          <c:w val="0.79454993235977667"/>
          <c:h val="9.1253509851481007E-2"/>
        </c:manualLayout>
      </c:layout>
      <c:overlay val="0"/>
      <c:spPr>
        <a:noFill/>
        <a:ln w="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baseline="0"/>
              <a:t>Television Production Revenues</a:t>
            </a:r>
            <a:endParaRPr lang="en-US" sz="1600" b="1"/>
          </a:p>
        </c:rich>
      </c:tx>
      <c:layout>
        <c:manualLayout>
          <c:xMode val="edge"/>
          <c:yMode val="edge"/>
          <c:x val="0.3753014903974007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823682261584694E-2"/>
          <c:y val="4.0702219085565226E-2"/>
          <c:w val="0.89511644485319175"/>
          <c:h val="0.81099853107459996"/>
        </c:manualLayout>
      </c:layout>
      <c:scatterChart>
        <c:scatterStyle val="smoothMarker"/>
        <c:varyColors val="0"/>
        <c:ser>
          <c:idx val="0"/>
          <c:order val="0"/>
          <c:tx>
            <c:v>Television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'Segment Revenues'!$C$29:$G$29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'Segment Revenues'!$C$40:$G$40</c:f>
              <c:numCache>
                <c:formatCode>_("$"* #,##0.00_);_("$"* \(#,##0.00\);_("$"* "-"??_);_(@_)</c:formatCode>
                <c:ptCount val="5"/>
                <c:pt idx="0">
                  <c:v>714806.95</c:v>
                </c:pt>
                <c:pt idx="1">
                  <c:v>655129</c:v>
                </c:pt>
                <c:pt idx="2">
                  <c:v>635282.68050000002</c:v>
                </c:pt>
                <c:pt idx="3">
                  <c:v>643354.23100000003</c:v>
                </c:pt>
                <c:pt idx="4">
                  <c:v>414788.93729999993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7A-4893-B0CD-BE310E9A3F04}"/>
            </c:ext>
          </c:extLst>
        </c:ser>
        <c:ser>
          <c:idx val="2"/>
          <c:order val="1"/>
          <c:tx>
            <c:v>International</c:v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'Segment Revenues'!$C$29:$G$29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'Segment Revenues'!$C$41:$G$41</c:f>
              <c:numCache>
                <c:formatCode>_("$"* #,##0.00_);_("$"* \(#,##0.00\);_("$"* "-"??_);_(@_)</c:formatCode>
                <c:ptCount val="5"/>
                <c:pt idx="0">
                  <c:v>152958.69</c:v>
                </c:pt>
                <c:pt idx="1">
                  <c:v>136178.5</c:v>
                </c:pt>
                <c:pt idx="2">
                  <c:v>135269.31600000002</c:v>
                </c:pt>
                <c:pt idx="3">
                  <c:v>149305.15399999998</c:v>
                </c:pt>
                <c:pt idx="4">
                  <c:v>190000.09385999996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87A-4893-B0CD-BE310E9A3F04}"/>
            </c:ext>
          </c:extLst>
        </c:ser>
        <c:ser>
          <c:idx val="1"/>
          <c:order val="2"/>
          <c:tx>
            <c:v>Home Entertainment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'Segment Revenues'!$C$29:$G$29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'Segment Revenues'!$C$42:$G$42</c:f>
              <c:numCache>
                <c:formatCode>_("$"* #,##0.00_);_("$"* \(#,##0.00\);_("$"* "-"??_);_(@_)</c:formatCode>
                <c:ptCount val="5"/>
                <c:pt idx="0">
                  <c:v>60983.53</c:v>
                </c:pt>
                <c:pt idx="1">
                  <c:v>74530.125</c:v>
                </c:pt>
                <c:pt idx="2">
                  <c:v>30596.630999999998</c:v>
                </c:pt>
                <c:pt idx="3">
                  <c:v>40262.063999999998</c:v>
                </c:pt>
                <c:pt idx="4">
                  <c:v>60211.297349999993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87A-4893-B0CD-BE310E9A3F04}"/>
            </c:ext>
          </c:extLst>
        </c:ser>
        <c:ser>
          <c:idx val="4"/>
          <c:order val="3"/>
          <c:tx>
            <c:v>Other (TV Prod)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'Segment Revenues'!$C$29:$G$29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'Segment Revenues'!$C$43:$G$43</c:f>
              <c:numCache>
                <c:formatCode>_("$"* #,##0.00_);_("$"* \(#,##0.00\);_("$"* "-"??_);_(@_)</c:formatCode>
                <c:ptCount val="5"/>
                <c:pt idx="0">
                  <c:v>70980.829999999987</c:v>
                </c:pt>
                <c:pt idx="1">
                  <c:v>53367.25</c:v>
                </c:pt>
                <c:pt idx="2">
                  <c:v>4025.8724999999999</c:v>
                </c:pt>
                <c:pt idx="3">
                  <c:v>6710.3440000000001</c:v>
                </c:pt>
                <c:pt idx="4">
                  <c:v>4014.0864899999997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87A-4893-B0CD-BE310E9A3F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68520"/>
        <c:axId val="412262944"/>
      </c:scatterChart>
      <c:valAx>
        <c:axId val="412268520"/>
        <c:scaling>
          <c:orientation val="minMax"/>
          <c:max val="2019"/>
          <c:min val="20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Year</a:t>
                </a:r>
              </a:p>
            </c:rich>
          </c:tx>
          <c:layout>
            <c:manualLayout>
              <c:xMode val="edge"/>
              <c:yMode val="edge"/>
              <c:x val="0.4817420108443855"/>
              <c:y val="0.898284892402171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2944"/>
        <c:crosses val="autoZero"/>
        <c:crossBetween val="midCat"/>
        <c:majorUnit val="1"/>
      </c:valAx>
      <c:valAx>
        <c:axId val="412262944"/>
        <c:scaling>
          <c:orientation val="minMax"/>
          <c:max val="80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Dollars</a:t>
                </a:r>
              </a:p>
            </c:rich>
          </c:tx>
          <c:layout>
            <c:manualLayout>
              <c:xMode val="edge"/>
              <c:yMode val="edge"/>
              <c:x val="0"/>
              <c:y val="0.80901580777364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8520"/>
        <c:crosses val="autoZero"/>
        <c:crossBetween val="midCat"/>
        <c:majorUnit val="50000"/>
        <c:minorUnit val="0.1"/>
      </c:valAx>
      <c:spPr>
        <a:noFill/>
        <a:ln w="15875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15877311040965697"/>
          <c:y val="0.90672322257138194"/>
          <c:w val="0.73851029634511545"/>
          <c:h val="9.3276777428618091E-2"/>
        </c:manualLayout>
      </c:layout>
      <c:overlay val="0"/>
      <c:spPr>
        <a:noFill/>
        <a:ln w="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Television Production </a:t>
            </a:r>
            <a:r>
              <a:rPr lang="en-US" sz="1600" b="1" baseline="0"/>
              <a:t>Revenues Graph</a:t>
            </a:r>
            <a:endParaRPr lang="en-US" sz="1600" b="1"/>
          </a:p>
        </c:rich>
      </c:tx>
      <c:layout>
        <c:manualLayout>
          <c:xMode val="edge"/>
          <c:yMode val="edge"/>
          <c:x val="0.3753014903974007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2.145698197416953E-2"/>
          <c:y val="3.8678981515777901E-2"/>
          <c:w val="0.89511644485319175"/>
          <c:h val="0.81099853107459996"/>
        </c:manualLayout>
      </c:layout>
      <c:barChart>
        <c:barDir val="col"/>
        <c:grouping val="stacked"/>
        <c:varyColors val="0"/>
        <c:ser>
          <c:idx val="0"/>
          <c:order val="0"/>
          <c:tx>
            <c:v>Television</c:v>
          </c:tx>
          <c:spPr>
            <a:solidFill>
              <a:schemeClr val="accent1"/>
            </a:solidFill>
            <a:ln w="25400"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'Segment Revenues'!$C$3:$G$3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cat>
          <c:val>
            <c:numRef>
              <c:f>'Segment Revenues'!$C$12:$G$12</c:f>
              <c:numCache>
                <c:formatCode>0.00%</c:formatCode>
                <c:ptCount val="5"/>
                <c:pt idx="0">
                  <c:v>0.71499999999999997</c:v>
                </c:pt>
                <c:pt idx="1">
                  <c:v>0.71199999999999997</c:v>
                </c:pt>
                <c:pt idx="2">
                  <c:v>0.78900000000000003</c:v>
                </c:pt>
                <c:pt idx="3">
                  <c:v>0.76700000000000002</c:v>
                </c:pt>
                <c:pt idx="4">
                  <c:v>0.62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7F-4AEF-8A82-C72D4173C913}"/>
            </c:ext>
          </c:extLst>
        </c:ser>
        <c:ser>
          <c:idx val="2"/>
          <c:order val="1"/>
          <c:tx>
            <c:v>International</c:v>
          </c:tx>
          <c:spPr>
            <a:solidFill>
              <a:schemeClr val="accent3"/>
            </a:solidFill>
            <a:ln w="25400"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'Segment Revenues'!$C$3:$G$3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cat>
          <c:val>
            <c:numRef>
              <c:f>'Segment Revenues'!$C$13:$G$13</c:f>
              <c:numCache>
                <c:formatCode>0.00%</c:formatCode>
                <c:ptCount val="5"/>
                <c:pt idx="0">
                  <c:v>0.153</c:v>
                </c:pt>
                <c:pt idx="1">
                  <c:v>0.14799999999999999</c:v>
                </c:pt>
                <c:pt idx="2">
                  <c:v>0.16800000000000001</c:v>
                </c:pt>
                <c:pt idx="3">
                  <c:v>0.17799999999999999</c:v>
                </c:pt>
                <c:pt idx="4">
                  <c:v>0.28399999999999997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7F-4AEF-8A82-C72D4173C913}"/>
            </c:ext>
          </c:extLst>
        </c:ser>
        <c:ser>
          <c:idx val="1"/>
          <c:order val="2"/>
          <c:tx>
            <c:v>Home Entertainment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'Segment Revenues'!$C$14:$G$14</c:f>
              <c:numCache>
                <c:formatCode>0.00%</c:formatCode>
                <c:ptCount val="5"/>
                <c:pt idx="0">
                  <c:v>6.0999999999999999E-2</c:v>
                </c:pt>
                <c:pt idx="1">
                  <c:v>8.1000000000000003E-2</c:v>
                </c:pt>
                <c:pt idx="2">
                  <c:v>3.7999999999999999E-2</c:v>
                </c:pt>
                <c:pt idx="3">
                  <c:v>4.8000000000000001E-2</c:v>
                </c:pt>
                <c:pt idx="4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F-4AEF-8A82-C72D4173C913}"/>
            </c:ext>
          </c:extLst>
        </c:ser>
        <c:ser>
          <c:idx val="3"/>
          <c:order val="3"/>
          <c:tx>
            <c:v>Other (TV Prod)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'Segment Revenues'!$C$15:$G$15</c:f>
              <c:numCache>
                <c:formatCode>0.00%</c:formatCode>
                <c:ptCount val="5"/>
                <c:pt idx="0">
                  <c:v>7.0999999999999994E-2</c:v>
                </c:pt>
                <c:pt idx="1">
                  <c:v>5.8000000000000003E-2</c:v>
                </c:pt>
                <c:pt idx="2">
                  <c:v>5.0000000000000001E-3</c:v>
                </c:pt>
                <c:pt idx="3">
                  <c:v>8.0000000000000002E-3</c:v>
                </c:pt>
                <c:pt idx="4">
                  <c:v>6.0000000000000001E-3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7F-4AEF-8A82-C72D4173C9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2268520"/>
        <c:axId val="412262944"/>
      </c:barChart>
      <c:catAx>
        <c:axId val="41226852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Year</a:t>
                </a:r>
              </a:p>
            </c:rich>
          </c:tx>
          <c:layout>
            <c:manualLayout>
              <c:xMode val="edge"/>
              <c:yMode val="edge"/>
              <c:x val="0.4817420108443855"/>
              <c:y val="0.898284892402171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2944"/>
        <c:crosses val="autoZero"/>
        <c:auto val="1"/>
        <c:lblAlgn val="ctr"/>
        <c:lblOffset val="100"/>
        <c:tickMarkSkip val="1"/>
        <c:noMultiLvlLbl val="0"/>
      </c:catAx>
      <c:valAx>
        <c:axId val="412262944"/>
        <c:scaling>
          <c:orientation val="minMax"/>
          <c:max val="1"/>
          <c:min val="0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8520"/>
        <c:crosses val="autoZero"/>
        <c:crossBetween val="between"/>
      </c:valAx>
      <c:spPr>
        <a:noFill/>
        <a:ln w="15875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8.8288528911859579E-2"/>
          <c:y val="0.90874649014851894"/>
          <c:w val="0.79454993235977667"/>
          <c:h val="9.1253509851481007E-2"/>
        </c:manualLayout>
      </c:layout>
      <c:overlay val="0"/>
      <c:spPr>
        <a:noFill/>
        <a:ln w="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Media Networks Revenues </a:t>
            </a:r>
            <a:r>
              <a:rPr lang="en-US" sz="1600" b="1" baseline="0"/>
              <a:t>Graph</a:t>
            </a:r>
            <a:endParaRPr lang="en-US" sz="1600" b="1"/>
          </a:p>
        </c:rich>
      </c:tx>
      <c:layout>
        <c:manualLayout>
          <c:xMode val="edge"/>
          <c:yMode val="edge"/>
          <c:x val="0.3753014903974007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823682261584694E-2"/>
          <c:y val="4.0702219085565226E-2"/>
          <c:w val="0.89511644485319175"/>
          <c:h val="0.81099853107459996"/>
        </c:manualLayout>
      </c:layout>
      <c:barChart>
        <c:barDir val="col"/>
        <c:grouping val="stacked"/>
        <c:varyColors val="0"/>
        <c:ser>
          <c:idx val="0"/>
          <c:order val="0"/>
          <c:tx>
            <c:v>Starz Networks</c:v>
          </c:tx>
          <c:spPr>
            <a:solidFill>
              <a:schemeClr val="accent1"/>
            </a:solidFill>
            <a:ln w="25400"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'Segment Revenues'!$C$3:$G$3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cat>
          <c:val>
            <c:numRef>
              <c:f>'Segment Revenues'!$C$18:$G$18</c:f>
              <c:numCache>
                <c:formatCode>0.00%</c:formatCode>
                <c:ptCount val="5"/>
                <c:pt idx="0">
                  <c:v>0.96199999999999997</c:v>
                </c:pt>
                <c:pt idx="1">
                  <c:v>0.98599999999999999</c:v>
                </c:pt>
                <c:pt idx="2">
                  <c:v>0.91600000000000004</c:v>
                </c:pt>
                <c:pt idx="3">
                  <c:v>0.92700000000000005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E0-482B-9290-DA1CBAE51251}"/>
            </c:ext>
          </c:extLst>
        </c:ser>
        <c:ser>
          <c:idx val="2"/>
          <c:order val="1"/>
          <c:tx>
            <c:v>Starzplay International</c:v>
          </c:tx>
          <c:spPr>
            <a:solidFill>
              <a:schemeClr val="accent3"/>
            </a:solidFill>
            <a:ln w="25400"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'Segment Revenues'!$C$3:$G$3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cat>
          <c:val>
            <c:numRef>
              <c:f>'Segment Revenues'!$C$19:$G$19</c:f>
              <c:numCache>
                <c:formatCode>0.00%</c:formatCode>
                <c:ptCount val="5"/>
                <c:pt idx="0">
                  <c:v>1.4999999999999999E-2</c:v>
                </c:pt>
                <c:pt idx="1">
                  <c:v>1E-3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E0-482B-9290-DA1CBAE51251}"/>
            </c:ext>
          </c:extLst>
        </c:ser>
        <c:ser>
          <c:idx val="1"/>
          <c:order val="2"/>
          <c:tx>
            <c:v>Other streaming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'Segment Revenues'!$C$21:$G$21</c:f>
              <c:numCache>
                <c:formatCode>0.00%</c:formatCode>
                <c:ptCount val="5"/>
                <c:pt idx="0">
                  <c:v>2.3E-2</c:v>
                </c:pt>
                <c:pt idx="1">
                  <c:v>1.2E-2</c:v>
                </c:pt>
                <c:pt idx="2">
                  <c:v>5.0000000000000001E-3</c:v>
                </c:pt>
                <c:pt idx="3">
                  <c:v>6.0000000000000001E-3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E0-482B-9290-DA1CBAE51251}"/>
            </c:ext>
          </c:extLst>
        </c:ser>
        <c:ser>
          <c:idx val="3"/>
          <c:order val="3"/>
          <c:tx>
            <c:v>Content and other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'Segment Revenues'!$C$20:$G$20</c:f>
              <c:numCache>
                <c:formatCode>0.00%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7.9000000000000001E-2</c:v>
                </c:pt>
                <c:pt idx="3">
                  <c:v>6.6000000000000003E-2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E0-482B-9290-DA1CBAE512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2268520"/>
        <c:axId val="412262944"/>
      </c:barChart>
      <c:catAx>
        <c:axId val="41226852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Year</a:t>
                </a:r>
              </a:p>
            </c:rich>
          </c:tx>
          <c:layout>
            <c:manualLayout>
              <c:xMode val="edge"/>
              <c:yMode val="edge"/>
              <c:x val="0.4817420108443855"/>
              <c:y val="0.898284892402171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2944"/>
        <c:crosses val="autoZero"/>
        <c:auto val="1"/>
        <c:lblAlgn val="ctr"/>
        <c:lblOffset val="100"/>
        <c:tickMarkSkip val="1"/>
        <c:noMultiLvlLbl val="0"/>
      </c:catAx>
      <c:valAx>
        <c:axId val="412262944"/>
        <c:scaling>
          <c:orientation val="minMax"/>
          <c:max val="1"/>
          <c:min val="0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8520"/>
        <c:crosses val="autoZero"/>
        <c:crossBetween val="between"/>
      </c:valAx>
      <c:spPr>
        <a:noFill/>
        <a:ln w="15875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8.8288528911859579E-2"/>
          <c:y val="0.90874649014851894"/>
          <c:w val="0.79454993235977667"/>
          <c:h val="9.1253509851481007E-2"/>
        </c:manualLayout>
      </c:layout>
      <c:overlay val="0"/>
      <c:spPr>
        <a:noFill/>
        <a:ln w="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Investment</a:t>
            </a:r>
            <a:r>
              <a:rPr lang="en-US" sz="1600" b="1" baseline="0"/>
              <a:t> vs. Amortization</a:t>
            </a:r>
            <a:endParaRPr lang="en-US" sz="1600" b="1"/>
          </a:p>
        </c:rich>
      </c:tx>
      <c:layout>
        <c:manualLayout>
          <c:xMode val="edge"/>
          <c:yMode val="edge"/>
          <c:x val="0.3753014903974007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480696520864408"/>
          <c:y val="4.2439710210730487E-2"/>
          <c:w val="0.89511644485319175"/>
          <c:h val="0.81099853107459996"/>
        </c:manualLayout>
      </c:layout>
      <c:scatterChart>
        <c:scatterStyle val="smoothMarker"/>
        <c:varyColors val="0"/>
        <c:ser>
          <c:idx val="1"/>
          <c:order val="0"/>
          <c:tx>
            <c:v>Investment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Ratios!$B$73:$G$73</c:f>
              <c:numCache>
                <c:formatCode>General</c:formatCode>
                <c:ptCount val="6"/>
                <c:pt idx="0">
                  <c:v>2020</c:v>
                </c:pt>
                <c:pt idx="1">
                  <c:v>2019</c:v>
                </c:pt>
                <c:pt idx="2">
                  <c:v>2018</c:v>
                </c:pt>
                <c:pt idx="3">
                  <c:v>2017</c:v>
                </c:pt>
                <c:pt idx="4">
                  <c:v>2016</c:v>
                </c:pt>
                <c:pt idx="5">
                  <c:v>2015</c:v>
                </c:pt>
              </c:numCache>
            </c:numRef>
          </c:xVal>
          <c:yVal>
            <c:numRef>
              <c:f>Ratios!$B$128:$G$128</c:f>
              <c:numCache>
                <c:formatCode>_("$"* #,##0.00_);_("$"* \(#,##0.00\);_("$"* "-"??_);_(@_)</c:formatCode>
                <c:ptCount val="6"/>
                <c:pt idx="0">
                  <c:v>1895200</c:v>
                </c:pt>
                <c:pt idx="1">
                  <c:v>1552000</c:v>
                </c:pt>
                <c:pt idx="2">
                  <c:v>1496500</c:v>
                </c:pt>
                <c:pt idx="3">
                  <c:v>1604200</c:v>
                </c:pt>
                <c:pt idx="4">
                  <c:v>1665204</c:v>
                </c:pt>
                <c:pt idx="5">
                  <c:v>1066403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21A-40EA-A894-C16D475CA38A}"/>
            </c:ext>
          </c:extLst>
        </c:ser>
        <c:ser>
          <c:idx val="2"/>
          <c:order val="1"/>
          <c:tx>
            <c:v>Amortization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'Dividend Policy'!$B$4:$G$4</c:f>
              <c:numCache>
                <c:formatCode>General</c:formatCode>
                <c:ptCount val="6"/>
                <c:pt idx="0">
                  <c:v>2020</c:v>
                </c:pt>
                <c:pt idx="1">
                  <c:v>2019</c:v>
                </c:pt>
                <c:pt idx="2">
                  <c:v>2018</c:v>
                </c:pt>
                <c:pt idx="3">
                  <c:v>2017</c:v>
                </c:pt>
                <c:pt idx="4">
                  <c:v>2016</c:v>
                </c:pt>
                <c:pt idx="5">
                  <c:v>2015</c:v>
                </c:pt>
              </c:numCache>
            </c:numRef>
          </c:xVal>
          <c:yVal>
            <c:numRef>
              <c:f>Ratios!$B$126:$G$126</c:f>
              <c:numCache>
                <c:formatCode>_("$"* #,##0.00_);_("$"* \(#,##0.00\);_("$"* "-"??_);_(@_)</c:formatCode>
                <c:ptCount val="6"/>
                <c:pt idx="0">
                  <c:v>1189800</c:v>
                </c:pt>
                <c:pt idx="1">
                  <c:v>1706700</c:v>
                </c:pt>
                <c:pt idx="2">
                  <c:v>1516500</c:v>
                </c:pt>
                <c:pt idx="3">
                  <c:v>1641700</c:v>
                </c:pt>
                <c:pt idx="4">
                  <c:v>1414000</c:v>
                </c:pt>
                <c:pt idx="5">
                  <c:v>1029077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82E-4201-BA7A-BCAB6A6BE171}"/>
            </c:ext>
          </c:extLst>
        </c:ser>
        <c:ser>
          <c:idx val="0"/>
          <c:order val="2"/>
          <c:tx>
            <c:v>Remaining Investment Value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'Dividend Policy'!$B$4:$G$4</c:f>
              <c:numCache>
                <c:formatCode>General</c:formatCode>
                <c:ptCount val="6"/>
                <c:pt idx="0">
                  <c:v>2020</c:v>
                </c:pt>
                <c:pt idx="1">
                  <c:v>2019</c:v>
                </c:pt>
                <c:pt idx="2">
                  <c:v>2018</c:v>
                </c:pt>
                <c:pt idx="3">
                  <c:v>2017</c:v>
                </c:pt>
                <c:pt idx="4">
                  <c:v>2016</c:v>
                </c:pt>
                <c:pt idx="5">
                  <c:v>2015</c:v>
                </c:pt>
              </c:numCache>
            </c:numRef>
          </c:xVal>
          <c:yVal>
            <c:numRef>
              <c:f>Ratios!$B$125:$G$125</c:f>
              <c:numCache>
                <c:formatCode>_("$"* #,##0.00_);_("$"* \(#,##0.00\);_("$"* "-"??_);_(@_)</c:formatCode>
                <c:ptCount val="6"/>
                <c:pt idx="0">
                  <c:v>2222700</c:v>
                </c:pt>
                <c:pt idx="1">
                  <c:v>1517300</c:v>
                </c:pt>
                <c:pt idx="2">
                  <c:v>1672000</c:v>
                </c:pt>
                <c:pt idx="3">
                  <c:v>1692000</c:v>
                </c:pt>
                <c:pt idx="4">
                  <c:v>1729500</c:v>
                </c:pt>
                <c:pt idx="5">
                  <c:v>1478296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82E-4201-BA7A-BCAB6A6BE1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68520"/>
        <c:axId val="412262944"/>
      </c:scatterChart>
      <c:valAx>
        <c:axId val="412268520"/>
        <c:scaling>
          <c:orientation val="minMax"/>
          <c:max val="2020"/>
          <c:min val="20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Year</a:t>
                </a:r>
              </a:p>
            </c:rich>
          </c:tx>
          <c:layout>
            <c:manualLayout>
              <c:xMode val="edge"/>
              <c:yMode val="edge"/>
              <c:x val="0.4817420108443855"/>
              <c:y val="0.898284892402171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2944"/>
        <c:crosses val="autoZero"/>
        <c:crossBetween val="midCat"/>
        <c:majorUnit val="1"/>
      </c:valAx>
      <c:valAx>
        <c:axId val="412262944"/>
        <c:scaling>
          <c:orientation val="minMax"/>
          <c:min val="9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Dollars</a:t>
                </a:r>
              </a:p>
            </c:rich>
          </c:tx>
          <c:layout>
            <c:manualLayout>
              <c:xMode val="edge"/>
              <c:yMode val="edge"/>
              <c:x val="0"/>
              <c:y val="0.406385518258832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8520"/>
        <c:crosses val="autoZero"/>
        <c:crossBetween val="midCat"/>
      </c:valAx>
      <c:spPr>
        <a:noFill/>
        <a:ln w="15875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15877311040965697"/>
          <c:y val="0.90672322257138194"/>
          <c:w val="0.29548857053661243"/>
          <c:h val="8.7206974697206854E-2"/>
        </c:manualLayout>
      </c:layout>
      <c:overlay val="0"/>
      <c:spPr>
        <a:noFill/>
        <a:ln w="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Cash</a:t>
            </a:r>
            <a:r>
              <a:rPr lang="en-US" sz="1600" b="1" baseline="0"/>
              <a:t> Conversion Cycle</a:t>
            </a:r>
          </a:p>
        </c:rich>
      </c:tx>
      <c:layout>
        <c:manualLayout>
          <c:xMode val="edge"/>
          <c:yMode val="edge"/>
          <c:x val="0.4237596401771365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4325505567310688E-2"/>
          <c:y val="4.0702219085565226E-2"/>
          <c:w val="0.87602691734017823"/>
          <c:h val="0.81099853107459996"/>
        </c:manualLayout>
      </c:layout>
      <c:scatterChart>
        <c:scatterStyle val="smoothMarker"/>
        <c:varyColors val="0"/>
        <c:ser>
          <c:idx val="0"/>
          <c:order val="0"/>
          <c:tx>
            <c:v>Day Sales Outstanding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Ratios!$C$3:$G$3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Ratios!$C$26:$G$26</c:f>
              <c:numCache>
                <c:formatCode>0.00</c:formatCode>
                <c:ptCount val="5"/>
                <c:pt idx="0">
                  <c:v>54.008740359897175</c:v>
                </c:pt>
                <c:pt idx="1">
                  <c:v>81.647738079065348</c:v>
                </c:pt>
                <c:pt idx="2">
                  <c:v>112.37025017558305</c:v>
                </c:pt>
                <c:pt idx="3">
                  <c:v>139.22786193971575</c:v>
                </c:pt>
                <c:pt idx="4">
                  <c:v>163.15386601199017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AD7-4519-96A0-4320D9388285}"/>
            </c:ext>
          </c:extLst>
        </c:ser>
        <c:ser>
          <c:idx val="2"/>
          <c:order val="1"/>
          <c:tx>
            <c:v>Days Inventory Outstanding</c:v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Ratios!$C$3:$G$3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Ratios!$C$57:$G$57</c:f>
              <c:numCache>
                <c:formatCode>0.00</c:formatCode>
                <c:ptCount val="5"/>
                <c:pt idx="0">
                  <c:v>53.107901711513414</c:v>
                </c:pt>
                <c:pt idx="1">
                  <c:v>56.796173947342474</c:v>
                </c:pt>
                <c:pt idx="2">
                  <c:v>43.222852441981296</c:v>
                </c:pt>
                <c:pt idx="3">
                  <c:v>50.173600168084882</c:v>
                </c:pt>
                <c:pt idx="4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AD7-4519-96A0-4320D9388285}"/>
            </c:ext>
          </c:extLst>
        </c:ser>
        <c:ser>
          <c:idx val="1"/>
          <c:order val="2"/>
          <c:tx>
            <c:v>Days Payables Outstanding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Ratios!$C$3:$G$3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Ratios!$C$58:$G$58</c:f>
              <c:numCache>
                <c:formatCode>0.00</c:formatCode>
                <c:ptCount val="5"/>
                <c:pt idx="0">
                  <c:v>86.39256996541036</c:v>
                </c:pt>
                <c:pt idx="1">
                  <c:v>95.596095059658822</c:v>
                </c:pt>
                <c:pt idx="2">
                  <c:v>70.752727745064078</c:v>
                </c:pt>
                <c:pt idx="3">
                  <c:v>109.85660258430508</c:v>
                </c:pt>
                <c:pt idx="4">
                  <c:v>97.403719519777525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AD7-4519-96A0-4320D9388285}"/>
            </c:ext>
          </c:extLst>
        </c:ser>
        <c:ser>
          <c:idx val="3"/>
          <c:order val="3"/>
          <c:tx>
            <c:v>Cash Conversion Cycle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Ratios!$C$3:$G$3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Ratios!$C$59:$G$59</c:f>
              <c:numCache>
                <c:formatCode>0.00</c:formatCode>
                <c:ptCount val="5"/>
                <c:pt idx="0">
                  <c:v>20.724072106000222</c:v>
                </c:pt>
                <c:pt idx="1">
                  <c:v>42.847816966748994</c:v>
                </c:pt>
                <c:pt idx="2">
                  <c:v>84.840374872500263</c:v>
                </c:pt>
                <c:pt idx="3">
                  <c:v>79.544859523495546</c:v>
                </c:pt>
                <c:pt idx="4">
                  <c:v>65.75014649221265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AD7-4519-96A0-4320D9388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68520"/>
        <c:axId val="412262944"/>
      </c:scatterChart>
      <c:valAx>
        <c:axId val="412268520"/>
        <c:scaling>
          <c:orientation val="minMax"/>
          <c:max val="2019"/>
          <c:min val="20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Year</a:t>
                </a:r>
              </a:p>
            </c:rich>
          </c:tx>
          <c:layout>
            <c:manualLayout>
              <c:xMode val="edge"/>
              <c:yMode val="edge"/>
              <c:x val="0.4817420108443855"/>
              <c:y val="0.898284892402171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2944"/>
        <c:crosses val="autoZero"/>
        <c:crossBetween val="midCat"/>
        <c:majorUnit val="1"/>
      </c:valAx>
      <c:valAx>
        <c:axId val="41226294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Days</a:t>
                </a:r>
              </a:p>
            </c:rich>
          </c:tx>
          <c:layout>
            <c:manualLayout>
              <c:xMode val="edge"/>
              <c:yMode val="edge"/>
              <c:x val="0"/>
              <c:y val="0.406385518258832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8520"/>
        <c:crosses val="autoZero"/>
        <c:crossBetween val="midCat"/>
      </c:valAx>
      <c:spPr>
        <a:noFill/>
        <a:ln w="15875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24834726606310781"/>
          <c:y val="0.93707223622843805"/>
          <c:w val="0.56662377004636533"/>
          <c:h val="6.2927763771561937E-2"/>
        </c:manualLayout>
      </c:layout>
      <c:overlay val="0"/>
      <c:spPr>
        <a:noFill/>
        <a:ln w="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 Segment</a:t>
            </a:r>
            <a:r>
              <a:rPr lang="en-US" sz="1600" b="1" baseline="0"/>
              <a:t> Revenues</a:t>
            </a:r>
            <a:endParaRPr lang="en-US" sz="1600" b="1"/>
          </a:p>
        </c:rich>
      </c:tx>
      <c:layout>
        <c:manualLayout>
          <c:xMode val="edge"/>
          <c:yMode val="edge"/>
          <c:x val="0.3753014903974007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823682261584694E-2"/>
          <c:y val="4.0702219085565226E-2"/>
          <c:w val="0.89511644485319175"/>
          <c:h val="0.81099853107459996"/>
        </c:manualLayout>
      </c:layout>
      <c:scatterChart>
        <c:scatterStyle val="smoothMarker"/>
        <c:varyColors val="0"/>
        <c:ser>
          <c:idx val="0"/>
          <c:order val="0"/>
          <c:tx>
            <c:v>Motion Picture 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'Segment Revenues'!$B$29:$G$29</c:f>
              <c:numCache>
                <c:formatCode>General</c:formatCode>
                <c:ptCount val="6"/>
                <c:pt idx="0">
                  <c:v>2020</c:v>
                </c:pt>
                <c:pt idx="1">
                  <c:v>2019</c:v>
                </c:pt>
                <c:pt idx="2">
                  <c:v>2018</c:v>
                </c:pt>
                <c:pt idx="3">
                  <c:v>2017</c:v>
                </c:pt>
                <c:pt idx="4">
                  <c:v>2016</c:v>
                </c:pt>
                <c:pt idx="5">
                  <c:v>2015</c:v>
                </c:pt>
              </c:numCache>
            </c:numRef>
          </c:xVal>
          <c:yVal>
            <c:numRef>
              <c:f>'Segment Revenues'!$B$32:$G$32</c:f>
              <c:numCache>
                <c:formatCode>_("$"* #,##0.00_);_("$"* \(#,##0.00\);_("$"* "-"??_);_(@_)</c:formatCode>
                <c:ptCount val="6"/>
                <c:pt idx="0">
                  <c:v>1079595</c:v>
                </c:pt>
                <c:pt idx="1">
                  <c:v>1672700</c:v>
                </c:pt>
                <c:pt idx="2">
                  <c:v>1464839</c:v>
                </c:pt>
                <c:pt idx="3">
                  <c:v>1820933.1</c:v>
                </c:pt>
                <c:pt idx="4">
                  <c:v>1920900</c:v>
                </c:pt>
                <c:pt idx="5">
                  <c:v>1678404.585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B29-4C82-BF6F-16387071F33E}"/>
            </c:ext>
          </c:extLst>
        </c:ser>
        <c:ser>
          <c:idx val="2"/>
          <c:order val="1"/>
          <c:tx>
            <c:v>Television Production</c:v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'Segment Revenues'!$B$29:$G$29</c:f>
              <c:numCache>
                <c:formatCode>General</c:formatCode>
                <c:ptCount val="6"/>
                <c:pt idx="0">
                  <c:v>2020</c:v>
                </c:pt>
                <c:pt idx="1">
                  <c:v>2019</c:v>
                </c:pt>
                <c:pt idx="2">
                  <c:v>2018</c:v>
                </c:pt>
                <c:pt idx="3">
                  <c:v>2017</c:v>
                </c:pt>
                <c:pt idx="4">
                  <c:v>2016</c:v>
                </c:pt>
                <c:pt idx="5">
                  <c:v>2015</c:v>
                </c:pt>
              </c:numCache>
            </c:numRef>
          </c:xVal>
          <c:yVal>
            <c:numRef>
              <c:f>'Segment Revenues'!$B$39:$G$39</c:f>
              <c:numCache>
                <c:formatCode>_("$"* #,##0.00_);_("$"* \(#,##0.00\);_("$"* "-"??_);_(@_)</c:formatCode>
                <c:ptCount val="6"/>
                <c:pt idx="0">
                  <c:v>830961</c:v>
                </c:pt>
                <c:pt idx="1">
                  <c:v>999730</c:v>
                </c:pt>
                <c:pt idx="2">
                  <c:v>920125</c:v>
                </c:pt>
                <c:pt idx="3">
                  <c:v>805174.5</c:v>
                </c:pt>
                <c:pt idx="4">
                  <c:v>838793</c:v>
                </c:pt>
                <c:pt idx="5">
                  <c:v>669014.41499999992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B29-4C82-BF6F-16387071F33E}"/>
            </c:ext>
          </c:extLst>
        </c:ser>
        <c:ser>
          <c:idx val="1"/>
          <c:order val="2"/>
          <c:tx>
            <c:v>Media Networks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'Segment Revenues'!$B$29:$G$29</c:f>
              <c:numCache>
                <c:formatCode>General</c:formatCode>
                <c:ptCount val="6"/>
                <c:pt idx="0">
                  <c:v>2020</c:v>
                </c:pt>
                <c:pt idx="1">
                  <c:v>2019</c:v>
                </c:pt>
                <c:pt idx="2">
                  <c:v>2018</c:v>
                </c:pt>
                <c:pt idx="3">
                  <c:v>2017</c:v>
                </c:pt>
                <c:pt idx="4">
                  <c:v>2016</c:v>
                </c:pt>
                <c:pt idx="5">
                  <c:v>2015</c:v>
                </c:pt>
              </c:numCache>
            </c:numRef>
          </c:xVal>
          <c:yVal>
            <c:numRef>
              <c:f>'Segment Revenues'!$B$45:$F$45</c:f>
              <c:numCache>
                <c:formatCode>_("$"* #,##0.00_);_("$"* \(#,##0.00\);_("$"* "-"??_);_(@_)</c:formatCode>
                <c:ptCount val="5"/>
                <c:pt idx="0">
                  <c:v>1563777</c:v>
                </c:pt>
                <c:pt idx="1">
                  <c:v>1485980</c:v>
                </c:pt>
                <c:pt idx="2">
                  <c:v>1461158.5</c:v>
                </c:pt>
                <c:pt idx="3">
                  <c:v>1531896.1</c:v>
                </c:pt>
                <c:pt idx="4">
                  <c:v>457814.49999999994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B29-4C82-BF6F-16387071F3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68520"/>
        <c:axId val="412262944"/>
      </c:scatterChart>
      <c:valAx>
        <c:axId val="412268520"/>
        <c:scaling>
          <c:orientation val="minMax"/>
          <c:max val="2020"/>
          <c:min val="20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Year</a:t>
                </a:r>
              </a:p>
            </c:rich>
          </c:tx>
          <c:layout>
            <c:manualLayout>
              <c:xMode val="edge"/>
              <c:yMode val="edge"/>
              <c:x val="0.4817420108443855"/>
              <c:y val="0.898284892402171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2944"/>
        <c:crosses val="autoZero"/>
        <c:crossBetween val="midCat"/>
        <c:majorUnit val="1"/>
      </c:valAx>
      <c:valAx>
        <c:axId val="412262944"/>
        <c:scaling>
          <c:orientation val="minMax"/>
          <c:max val="200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Dollars</a:t>
                </a:r>
              </a:p>
            </c:rich>
          </c:tx>
          <c:layout>
            <c:manualLayout>
              <c:xMode val="edge"/>
              <c:yMode val="edge"/>
              <c:x val="0"/>
              <c:y val="0.432688038426152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8520"/>
        <c:crosses val="autoZero"/>
        <c:crossBetween val="midCat"/>
        <c:majorUnit val="250000"/>
        <c:minorUnit val="0.1"/>
      </c:valAx>
      <c:spPr>
        <a:noFill/>
        <a:ln w="15875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15877311040965697"/>
          <c:y val="0.90672322257138194"/>
          <c:w val="0.25541191161677479"/>
          <c:h val="9.3276777428618091E-2"/>
        </c:manualLayout>
      </c:layout>
      <c:overlay val="0"/>
      <c:spPr>
        <a:noFill/>
        <a:ln w="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Dividend Policy</a:t>
            </a:r>
          </a:p>
        </c:rich>
      </c:tx>
      <c:layout>
        <c:manualLayout>
          <c:xMode val="edge"/>
          <c:yMode val="edge"/>
          <c:x val="0.3753014903974007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823682261584694E-2"/>
          <c:y val="4.0702219085565226E-2"/>
          <c:w val="0.89511644485319175"/>
          <c:h val="0.81099853107459996"/>
        </c:manualLayout>
      </c:layout>
      <c:scatterChart>
        <c:scatterStyle val="smoothMarker"/>
        <c:varyColors val="0"/>
        <c:ser>
          <c:idx val="0"/>
          <c:order val="0"/>
          <c:tx>
            <c:v>Earnings per share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'Dividend Policy'!$B$4:$G$4</c:f>
              <c:numCache>
                <c:formatCode>General</c:formatCode>
                <c:ptCount val="6"/>
                <c:pt idx="0">
                  <c:v>2020</c:v>
                </c:pt>
                <c:pt idx="1">
                  <c:v>2019</c:v>
                </c:pt>
                <c:pt idx="2">
                  <c:v>2018</c:v>
                </c:pt>
                <c:pt idx="3">
                  <c:v>2017</c:v>
                </c:pt>
                <c:pt idx="4">
                  <c:v>2016</c:v>
                </c:pt>
                <c:pt idx="5">
                  <c:v>2015</c:v>
                </c:pt>
              </c:numCache>
            </c:numRef>
          </c:xVal>
          <c:yVal>
            <c:numRef>
              <c:f>'Dividend Policy'!$B$5:$G$5</c:f>
              <c:numCache>
                <c:formatCode>_("$"* #,##0.00_);_("$"* \(#,##0.00\);_("$"* "-"??_);_(@_)</c:formatCode>
                <c:ptCount val="6"/>
                <c:pt idx="0">
                  <c:v>-0.09</c:v>
                </c:pt>
                <c:pt idx="1">
                  <c:v>-0.86</c:v>
                </c:pt>
                <c:pt idx="2">
                  <c:v>-1.33</c:v>
                </c:pt>
                <c:pt idx="3">
                  <c:v>2.15</c:v>
                </c:pt>
                <c:pt idx="4">
                  <c:v>0.09</c:v>
                </c:pt>
                <c:pt idx="5">
                  <c:v>0.33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22-44C3-96E8-2A3D48651BD2}"/>
            </c:ext>
          </c:extLst>
        </c:ser>
        <c:ser>
          <c:idx val="2"/>
          <c:order val="1"/>
          <c:tx>
            <c:v>Dividends per share</c:v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'Dividend Policy'!$B$4:$G$4</c:f>
              <c:numCache>
                <c:formatCode>General</c:formatCode>
                <c:ptCount val="6"/>
                <c:pt idx="0">
                  <c:v>2020</c:v>
                </c:pt>
                <c:pt idx="1">
                  <c:v>2019</c:v>
                </c:pt>
                <c:pt idx="2">
                  <c:v>2018</c:v>
                </c:pt>
                <c:pt idx="3">
                  <c:v>2017</c:v>
                </c:pt>
                <c:pt idx="4">
                  <c:v>2016</c:v>
                </c:pt>
                <c:pt idx="5">
                  <c:v>2015</c:v>
                </c:pt>
              </c:numCache>
            </c:numRef>
          </c:xVal>
          <c:yVal>
            <c:numRef>
              <c:f>'Dividend Policy'!$B$6:$G$6</c:f>
              <c:numCache>
                <c:formatCode>_("$"* #,##0.00_);_("$"* \(#,##0.00\);_("$"* "-"??_);_(@_)</c:formatCode>
                <c:ptCount val="6"/>
                <c:pt idx="0">
                  <c:v>0</c:v>
                </c:pt>
                <c:pt idx="1">
                  <c:v>0</c:v>
                </c:pt>
                <c:pt idx="2" formatCode="General">
                  <c:v>0.18</c:v>
                </c:pt>
                <c:pt idx="3" formatCode="General">
                  <c:v>0.09</c:v>
                </c:pt>
                <c:pt idx="4" formatCode="General">
                  <c:v>0.09</c:v>
                </c:pt>
                <c:pt idx="5" formatCode="General">
                  <c:v>0.34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22-44C3-96E8-2A3D48651B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68520"/>
        <c:axId val="412262944"/>
      </c:scatterChart>
      <c:valAx>
        <c:axId val="412268520"/>
        <c:scaling>
          <c:orientation val="minMax"/>
          <c:max val="2020"/>
          <c:min val="20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Year</a:t>
                </a:r>
              </a:p>
            </c:rich>
          </c:tx>
          <c:layout>
            <c:manualLayout>
              <c:xMode val="edge"/>
              <c:yMode val="edge"/>
              <c:x val="0.4817420108443855"/>
              <c:y val="0.898284892402171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2944"/>
        <c:crosses val="autoZero"/>
        <c:crossBetween val="midCat"/>
        <c:majorUnit val="1"/>
      </c:valAx>
      <c:valAx>
        <c:axId val="412262944"/>
        <c:scaling>
          <c:orientation val="minMax"/>
          <c:max val="2.5"/>
          <c:min val="-1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Dollars</a:t>
                </a:r>
              </a:p>
            </c:rich>
          </c:tx>
          <c:layout>
            <c:manualLayout>
              <c:xMode val="edge"/>
              <c:yMode val="edge"/>
              <c:x val="0"/>
              <c:y val="0.432688038426152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8520"/>
        <c:crosses val="autoZero"/>
        <c:crossBetween val="midCat"/>
        <c:majorUnit val="0.5"/>
        <c:minorUnit val="0.1"/>
      </c:valAx>
      <c:spPr>
        <a:noFill/>
        <a:ln w="15875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15877311040965697"/>
          <c:y val="0.90672322257138194"/>
          <c:w val="0.25443581116237124"/>
          <c:h val="9.3276777428618091E-2"/>
        </c:manualLayout>
      </c:layout>
      <c:overlay val="0"/>
      <c:spPr>
        <a:noFill/>
        <a:ln w="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Current</a:t>
            </a:r>
            <a:r>
              <a:rPr lang="en-US" sz="1600" b="1" baseline="0"/>
              <a:t> Ratio</a:t>
            </a:r>
            <a:endParaRPr lang="en-US" sz="1600" b="1"/>
          </a:p>
        </c:rich>
      </c:tx>
      <c:layout>
        <c:manualLayout>
          <c:xMode val="edge"/>
          <c:yMode val="edge"/>
          <c:x val="0.435507101535844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823682261584694E-2"/>
          <c:y val="4.0702219085565226E-2"/>
          <c:w val="0.89511644485319175"/>
          <c:h val="0.81099853107459996"/>
        </c:manualLayout>
      </c:layout>
      <c:scatterChart>
        <c:scatterStyle val="smoothMarker"/>
        <c:varyColors val="0"/>
        <c:ser>
          <c:idx val="0"/>
          <c:order val="0"/>
          <c:tx>
            <c:v>Lions Gate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Ratios!$C$3:$G$3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Ratios!$C$19:$G$19</c:f>
              <c:numCache>
                <c:formatCode>0.000</c:formatCode>
                <c:ptCount val="5"/>
                <c:pt idx="0">
                  <c:v>0.86761292034224313</c:v>
                </c:pt>
                <c:pt idx="1">
                  <c:v>0.84386347131445172</c:v>
                </c:pt>
                <c:pt idx="2">
                  <c:v>0.73499419665063837</c:v>
                </c:pt>
                <c:pt idx="3">
                  <c:v>1.0002958754955915</c:v>
                </c:pt>
                <c:pt idx="4">
                  <c:v>0.5214129684174923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3E0-4F4B-A7F3-18ABAFBB0BB3}"/>
            </c:ext>
          </c:extLst>
        </c:ser>
        <c:ser>
          <c:idx val="2"/>
          <c:order val="1"/>
          <c:tx>
            <c:v>Industry</c:v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Ratios!$C$3:$G$3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'Industry Ratios'!$B$17:$F$17</c:f>
              <c:numCache>
                <c:formatCode>0.000</c:formatCode>
                <c:ptCount val="5"/>
                <c:pt idx="0">
                  <c:v>1.9020512820512823</c:v>
                </c:pt>
                <c:pt idx="1">
                  <c:v>2.0335897435897432</c:v>
                </c:pt>
                <c:pt idx="2">
                  <c:v>2.1109999999999998</c:v>
                </c:pt>
                <c:pt idx="3">
                  <c:v>1.9346153846153844</c:v>
                </c:pt>
                <c:pt idx="4">
                  <c:v>1.8894736842105262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3E0-4F4B-A7F3-18ABAFBB0B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68520"/>
        <c:axId val="412262944"/>
      </c:scatterChart>
      <c:valAx>
        <c:axId val="412268520"/>
        <c:scaling>
          <c:orientation val="minMax"/>
          <c:max val="2019"/>
          <c:min val="20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Year</a:t>
                </a:r>
              </a:p>
            </c:rich>
          </c:tx>
          <c:layout>
            <c:manualLayout>
              <c:xMode val="edge"/>
              <c:yMode val="edge"/>
              <c:x val="0.4817420108443855"/>
              <c:y val="0.898284892402171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2944"/>
        <c:crosses val="autoZero"/>
        <c:crossBetween val="midCat"/>
        <c:majorUnit val="1"/>
      </c:valAx>
      <c:valAx>
        <c:axId val="412262944"/>
        <c:scaling>
          <c:orientation val="minMax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Times</a:t>
                </a:r>
              </a:p>
            </c:rich>
          </c:tx>
          <c:layout>
            <c:manualLayout>
              <c:xMode val="edge"/>
              <c:yMode val="edge"/>
              <c:x val="0"/>
              <c:y val="0.406385518258832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8520"/>
        <c:crosses val="autoZero"/>
        <c:crossBetween val="midCat"/>
      </c:valAx>
      <c:spPr>
        <a:noFill/>
        <a:ln w="15875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3232370941298669"/>
          <c:y val="0.93707230788472184"/>
          <c:w val="0.36568871553071752"/>
          <c:h val="4.5838831700201386E-2"/>
        </c:manualLayout>
      </c:layout>
      <c:overlay val="0"/>
      <c:spPr>
        <a:noFill/>
        <a:ln w="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baseline="0"/>
              <a:t>Quick Ratio</a:t>
            </a:r>
            <a:endParaRPr lang="en-US" sz="1600" b="1"/>
          </a:p>
        </c:rich>
      </c:tx>
      <c:layout>
        <c:manualLayout>
          <c:xMode val="edge"/>
          <c:yMode val="edge"/>
          <c:x val="0.435507101535844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823682261584694E-2"/>
          <c:y val="4.0702219085565226E-2"/>
          <c:w val="0.89511644485319175"/>
          <c:h val="0.81099853107459996"/>
        </c:manualLayout>
      </c:layout>
      <c:scatterChart>
        <c:scatterStyle val="smoothMarker"/>
        <c:varyColors val="0"/>
        <c:ser>
          <c:idx val="0"/>
          <c:order val="0"/>
          <c:tx>
            <c:v>Lions Gate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Ratios!$C$3:$G$3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Ratios!$C$20:$G$20</c:f>
              <c:numCache>
                <c:formatCode>0.000</c:formatCode>
                <c:ptCount val="5"/>
                <c:pt idx="0">
                  <c:v>0.55727266697618894</c:v>
                </c:pt>
                <c:pt idx="1">
                  <c:v>0.5032074558218349</c:v>
                </c:pt>
                <c:pt idx="2">
                  <c:v>0.54887249212402589</c:v>
                </c:pt>
                <c:pt idx="3">
                  <c:v>0.8454346411030238</c:v>
                </c:pt>
                <c:pt idx="4">
                  <c:v>0.5214129684174923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902-4C5D-B1AF-E9E1DDD3B3CB}"/>
            </c:ext>
          </c:extLst>
        </c:ser>
        <c:ser>
          <c:idx val="2"/>
          <c:order val="1"/>
          <c:tx>
            <c:v>Industry</c:v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Ratios!$C$3:$G$3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'Industry Ratios'!$B$18:$F$18</c:f>
              <c:numCache>
                <c:formatCode>0.000</c:formatCode>
                <c:ptCount val="5"/>
                <c:pt idx="0">
                  <c:v>1.5082051282051283</c:v>
                </c:pt>
                <c:pt idx="1">
                  <c:v>1.6405128205128208</c:v>
                </c:pt>
                <c:pt idx="2">
                  <c:v>1.5812499999999998</c:v>
                </c:pt>
                <c:pt idx="3">
                  <c:v>1.518974358974359</c:v>
                </c:pt>
                <c:pt idx="4">
                  <c:v>1.4307894736842104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902-4C5D-B1AF-E9E1DDD3B3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68520"/>
        <c:axId val="412262944"/>
      </c:scatterChart>
      <c:valAx>
        <c:axId val="412268520"/>
        <c:scaling>
          <c:orientation val="minMax"/>
          <c:max val="2019"/>
          <c:min val="20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Year</a:t>
                </a:r>
              </a:p>
            </c:rich>
          </c:tx>
          <c:layout>
            <c:manualLayout>
              <c:xMode val="edge"/>
              <c:yMode val="edge"/>
              <c:x val="0.4817420108443855"/>
              <c:y val="0.898284892402171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2944"/>
        <c:crosses val="autoZero"/>
        <c:crossBetween val="midCat"/>
        <c:majorUnit val="1"/>
      </c:valAx>
      <c:valAx>
        <c:axId val="412262944"/>
        <c:scaling>
          <c:orientation val="minMax"/>
          <c:max val="1.8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Times</a:t>
                </a:r>
              </a:p>
            </c:rich>
          </c:tx>
          <c:layout>
            <c:manualLayout>
              <c:xMode val="edge"/>
              <c:yMode val="edge"/>
              <c:x val="0"/>
              <c:y val="0.406385518258832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8520"/>
        <c:crosses val="autoZero"/>
        <c:crossBetween val="midCat"/>
        <c:majorUnit val="0.2"/>
      </c:valAx>
      <c:spPr>
        <a:noFill/>
        <a:ln w="15875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3232370941298669"/>
          <c:y val="0.93707230788472184"/>
          <c:w val="0.36568871553071752"/>
          <c:h val="4.5838831700201386E-2"/>
        </c:manualLayout>
      </c:layout>
      <c:overlay val="0"/>
      <c:spPr>
        <a:noFill/>
        <a:ln w="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 baseline="0"/>
              <a:t>Debt Ratio</a:t>
            </a:r>
            <a:endParaRPr lang="en-US" sz="1600" b="1"/>
          </a:p>
        </c:rich>
      </c:tx>
      <c:layout>
        <c:manualLayout>
          <c:xMode val="edge"/>
          <c:yMode val="edge"/>
          <c:x val="0.435507101535844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19378634939355"/>
          <c:y val="4.0702219085565226E-2"/>
          <c:w val="0.8584145594135536"/>
          <c:h val="0.81099853107459996"/>
        </c:manualLayout>
      </c:layout>
      <c:scatterChart>
        <c:scatterStyle val="smoothMarker"/>
        <c:varyColors val="0"/>
        <c:ser>
          <c:idx val="0"/>
          <c:order val="0"/>
          <c:tx>
            <c:v>Lions Gate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25400">
                <a:solidFill>
                  <a:schemeClr val="accent1"/>
                </a:solidFill>
              </a:ln>
              <a:effectLst/>
            </c:spPr>
          </c:marker>
          <c:xVal>
            <c:numRef>
              <c:f>Ratios!$C$3:$G$3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Ratios!$C$14:$G$14</c:f>
              <c:numCache>
                <c:formatCode>0.00%</c:formatCode>
                <c:ptCount val="5"/>
                <c:pt idx="0">
                  <c:v>0.66545930174061774</c:v>
                </c:pt>
                <c:pt idx="1">
                  <c:v>0.65252292214201624</c:v>
                </c:pt>
                <c:pt idx="2">
                  <c:v>0.64796601097283557</c:v>
                </c:pt>
                <c:pt idx="3">
                  <c:v>0.72660352945014084</c:v>
                </c:pt>
                <c:pt idx="4">
                  <c:v>0.7794653778438535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242-40AA-8D78-AB37E3B60C6B}"/>
            </c:ext>
          </c:extLst>
        </c:ser>
        <c:ser>
          <c:idx val="2"/>
          <c:order val="1"/>
          <c:tx>
            <c:v>Industry</c:v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3"/>
              </a:solidFill>
              <a:ln w="25400">
                <a:solidFill>
                  <a:schemeClr val="accent3"/>
                </a:solidFill>
              </a:ln>
              <a:effectLst/>
            </c:spPr>
          </c:marker>
          <c:xVal>
            <c:numRef>
              <c:f>'Industry Ratios'!$B$1:$F$1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'Industry Ratios'!$B$12:$F$12</c:f>
              <c:numCache>
                <c:formatCode>0.00%</c:formatCode>
                <c:ptCount val="5"/>
                <c:pt idx="0">
                  <c:v>0.53660797034291008</c:v>
                </c:pt>
                <c:pt idx="1">
                  <c:v>0.53370072064434071</c:v>
                </c:pt>
                <c:pt idx="2">
                  <c:v>0.60666358167515044</c:v>
                </c:pt>
                <c:pt idx="3">
                  <c:v>0.55079931298718454</c:v>
                </c:pt>
                <c:pt idx="4">
                  <c:v>0.57153985977668131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242-40AA-8D78-AB37E3B60C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68520"/>
        <c:axId val="412262944"/>
      </c:scatterChart>
      <c:valAx>
        <c:axId val="412268520"/>
        <c:scaling>
          <c:orientation val="minMax"/>
          <c:max val="2019"/>
          <c:min val="20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Year</a:t>
                </a:r>
              </a:p>
            </c:rich>
          </c:tx>
          <c:layout>
            <c:manualLayout>
              <c:xMode val="edge"/>
              <c:yMode val="edge"/>
              <c:x val="0.4817420108443855"/>
              <c:y val="0.898284892402171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2944"/>
        <c:crosses val="autoZero"/>
        <c:crossBetween val="midCat"/>
        <c:majorUnit val="1"/>
      </c:valAx>
      <c:valAx>
        <c:axId val="412262944"/>
        <c:scaling>
          <c:orientation val="minMax"/>
          <c:max val="0.8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Percentage</a:t>
                </a:r>
              </a:p>
            </c:rich>
          </c:tx>
          <c:layout>
            <c:manualLayout>
              <c:xMode val="edge"/>
              <c:yMode val="edge"/>
              <c:x val="0"/>
              <c:y val="0.406385518258832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8520"/>
        <c:crosses val="autoZero"/>
        <c:crossBetween val="midCat"/>
      </c:valAx>
      <c:spPr>
        <a:noFill/>
        <a:ln w="15875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3232370941298669"/>
          <c:y val="0.93707230788472184"/>
          <c:w val="0.36568871553071752"/>
          <c:h val="4.5838831700201386E-2"/>
        </c:manualLayout>
      </c:layout>
      <c:overlay val="0"/>
      <c:spPr>
        <a:noFill/>
        <a:ln w="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Times Interest Earned</a:t>
            </a:r>
            <a:r>
              <a:rPr lang="en-US" sz="1600" b="1" baseline="0"/>
              <a:t> Ratio</a:t>
            </a:r>
            <a:endParaRPr lang="en-US" sz="1600" b="1"/>
          </a:p>
        </c:rich>
      </c:tx>
      <c:layout>
        <c:manualLayout>
          <c:xMode val="edge"/>
          <c:yMode val="edge"/>
          <c:x val="0.435507101535844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9920219223698361E-2"/>
          <c:y val="4.0702219085565226E-2"/>
          <c:w val="0.88043220368379049"/>
          <c:h val="0.81099853107459996"/>
        </c:manualLayout>
      </c:layout>
      <c:scatterChart>
        <c:scatterStyle val="smoothMarker"/>
        <c:varyColors val="0"/>
        <c:ser>
          <c:idx val="0"/>
          <c:order val="0"/>
          <c:tx>
            <c:v>Lions Gate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Ratios!$C$3:$G$3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Ratios!$C$16:$G$16</c:f>
              <c:numCache>
                <c:formatCode>0.00</c:formatCode>
                <c:ptCount val="5"/>
                <c:pt idx="0">
                  <c:v>-6.1683220073183484E-2</c:v>
                </c:pt>
                <c:pt idx="1">
                  <c:v>-0.5490196078431373</c:v>
                </c:pt>
                <c:pt idx="2">
                  <c:v>1.7676819824470831</c:v>
                </c:pt>
                <c:pt idx="3">
                  <c:v>-0.16666666666666666</c:v>
                </c:pt>
                <c:pt idx="4">
                  <c:v>0.38360757302428983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056-4475-9F69-583EB38AB353}"/>
            </c:ext>
          </c:extLst>
        </c:ser>
        <c:ser>
          <c:idx val="2"/>
          <c:order val="1"/>
          <c:tx>
            <c:v>Industry</c:v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'Industry Ratios'!$B$1:$F$1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'Industry Ratios'!$B$14:$F$14</c:f>
              <c:numCache>
                <c:formatCode>0.00</c:formatCode>
                <c:ptCount val="5"/>
                <c:pt idx="0">
                  <c:v>7.7459090909090911</c:v>
                </c:pt>
                <c:pt idx="1">
                  <c:v>10.842727272727274</c:v>
                </c:pt>
                <c:pt idx="2">
                  <c:v>12.389999999999999</c:v>
                </c:pt>
                <c:pt idx="3">
                  <c:v>12.639615384615386</c:v>
                </c:pt>
                <c:pt idx="4">
                  <c:v>9.9362500000000011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056-4475-9F69-583EB38AB3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68520"/>
        <c:axId val="412262944"/>
      </c:scatterChart>
      <c:valAx>
        <c:axId val="412268520"/>
        <c:scaling>
          <c:orientation val="minMax"/>
          <c:max val="2019"/>
          <c:min val="20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Year</a:t>
                </a:r>
              </a:p>
            </c:rich>
          </c:tx>
          <c:layout>
            <c:manualLayout>
              <c:xMode val="edge"/>
              <c:yMode val="edge"/>
              <c:x val="0.4817420108443855"/>
              <c:y val="0.898284892402171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2944"/>
        <c:crosses val="autoZero"/>
        <c:crossBetween val="midCat"/>
        <c:majorUnit val="1"/>
      </c:valAx>
      <c:valAx>
        <c:axId val="412262944"/>
        <c:scaling>
          <c:orientation val="minMax"/>
          <c:max val="20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Times</a:t>
                </a:r>
              </a:p>
            </c:rich>
          </c:tx>
          <c:layout>
            <c:manualLayout>
              <c:xMode val="edge"/>
              <c:yMode val="edge"/>
              <c:x val="0"/>
              <c:y val="0.406385518258832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8520"/>
        <c:crosses val="autoZero"/>
        <c:crossBetween val="midCat"/>
        <c:majorUnit val="2"/>
      </c:valAx>
      <c:spPr>
        <a:noFill/>
        <a:ln w="15875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3232370941298669"/>
          <c:y val="0.93707230788472184"/>
          <c:w val="0.36568871553071752"/>
          <c:h val="4.5838831700201386E-2"/>
        </c:manualLayout>
      </c:layout>
      <c:overlay val="0"/>
      <c:spPr>
        <a:noFill/>
        <a:ln w="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1"/>
              <a:t>Inventory Turnover (COGS)</a:t>
            </a:r>
            <a:r>
              <a:rPr lang="en-US" sz="1600" b="1" baseline="0"/>
              <a:t> Ratio</a:t>
            </a:r>
            <a:endParaRPr lang="en-US" sz="1600" b="1"/>
          </a:p>
        </c:rich>
      </c:tx>
      <c:layout>
        <c:manualLayout>
          <c:xMode val="edge"/>
          <c:yMode val="edge"/>
          <c:x val="0.34005919964850206"/>
          <c:y val="2.0232675771370764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4046504098881911E-2"/>
          <c:y val="5.8911657287148665E-2"/>
          <c:w val="0.88483749002740297"/>
          <c:h val="0.79278920180500956"/>
        </c:manualLayout>
      </c:layout>
      <c:scatterChart>
        <c:scatterStyle val="smoothMarker"/>
        <c:varyColors val="0"/>
        <c:ser>
          <c:idx val="0"/>
          <c:order val="0"/>
          <c:tx>
            <c:v>Lions Gate</c:v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Ratios!$C$3:$G$3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Ratios!$C$24:$F$24</c:f>
              <c:numCache>
                <c:formatCode>0.00</c:formatCode>
                <c:ptCount val="4"/>
                <c:pt idx="0">
                  <c:v>7.1694041867954912</c:v>
                </c:pt>
                <c:pt idx="1">
                  <c:v>6.8589786946229285</c:v>
                </c:pt>
                <c:pt idx="2">
                  <c:v>9.1216429699842028</c:v>
                </c:pt>
                <c:pt idx="3">
                  <c:v>7.2747420710737485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61E-47C6-AA9A-BA98507663B7}"/>
            </c:ext>
          </c:extLst>
        </c:ser>
        <c:ser>
          <c:idx val="2"/>
          <c:order val="1"/>
          <c:tx>
            <c:v>Industry</c:v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'Industry Ratios'!$B$1:$F$1</c:f>
              <c:numCache>
                <c:formatCode>General</c:formatCode>
                <c:ptCount val="5"/>
                <c:pt idx="0">
                  <c:v>2019</c:v>
                </c:pt>
                <c:pt idx="1">
                  <c:v>2018</c:v>
                </c:pt>
                <c:pt idx="2">
                  <c:v>2017</c:v>
                </c:pt>
                <c:pt idx="3">
                  <c:v>2016</c:v>
                </c:pt>
                <c:pt idx="4">
                  <c:v>2015</c:v>
                </c:pt>
              </c:numCache>
            </c:numRef>
          </c:xVal>
          <c:yVal>
            <c:numRef>
              <c:f>'Industry Ratios'!$B$21:$F$21</c:f>
              <c:numCache>
                <c:formatCode>0.00</c:formatCode>
                <c:ptCount val="5"/>
                <c:pt idx="0">
                  <c:v>19.429583333333333</c:v>
                </c:pt>
                <c:pt idx="1">
                  <c:v>16.343043478260871</c:v>
                </c:pt>
                <c:pt idx="2">
                  <c:v>17.411739130434785</c:v>
                </c:pt>
                <c:pt idx="3">
                  <c:v>24.397272727272721</c:v>
                </c:pt>
                <c:pt idx="4">
                  <c:v>24.889545454545463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61E-47C6-AA9A-BA98507663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68520"/>
        <c:axId val="412262944"/>
      </c:scatterChart>
      <c:valAx>
        <c:axId val="412268520"/>
        <c:scaling>
          <c:orientation val="minMax"/>
          <c:max val="2019"/>
          <c:min val="2016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Year</a:t>
                </a:r>
              </a:p>
            </c:rich>
          </c:tx>
          <c:layout>
            <c:manualLayout>
              <c:xMode val="edge"/>
              <c:yMode val="edge"/>
              <c:x val="0.47733670956328694"/>
              <c:y val="0.890191851966910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2944"/>
        <c:crosses val="autoZero"/>
        <c:crossBetween val="midCat"/>
        <c:majorUnit val="1"/>
      </c:valAx>
      <c:valAx>
        <c:axId val="412262944"/>
        <c:scaling>
          <c:orientation val="minMax"/>
          <c:max val="26"/>
          <c:min val="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 b="1"/>
                  <a:t>Times</a:t>
                </a:r>
              </a:p>
            </c:rich>
          </c:tx>
          <c:layout>
            <c:manualLayout>
              <c:xMode val="edge"/>
              <c:yMode val="edge"/>
              <c:x val="0"/>
              <c:y val="0.406385559923370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268520"/>
        <c:crosses val="autoZero"/>
        <c:crossBetween val="midCat"/>
        <c:majorUnit val="2"/>
      </c:valAx>
      <c:spPr>
        <a:noFill/>
        <a:ln w="15875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3232370941298669"/>
          <c:y val="0.93707230788472184"/>
          <c:w val="0.36568871553071752"/>
          <c:h val="4.5838831700201386E-2"/>
        </c:manualLayout>
      </c:layout>
      <c:overlay val="0"/>
      <c:spPr>
        <a:noFill/>
        <a:ln w="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chart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chart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chart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3.bin"/></Relationships>
</file>

<file path=xl/chart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4.bin"/></Relationships>
</file>

<file path=xl/chart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5.bin"/></Relationships>
</file>

<file path=xl/chart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chart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7.bin"/></Relationships>
</file>

<file path=xl/chart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8.bin"/></Relationships>
</file>

<file path=xl/chart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9.bin"/></Relationships>
</file>

<file path=xl/chart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0.bin"/></Relationships>
</file>

<file path=xl/chart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1.bin"/></Relationships>
</file>

<file path=xl/chart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2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C8E302E-A05D-4A52-9682-B0017AE1496C}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A22EA5A-F31C-42F4-A27F-62EE235A2599}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9559C9F-E5FF-413A-93E0-D4C20A3CD709}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04B98A9-426E-4ADE-936F-735550ADEDC5}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64E075B-E0CC-4A13-B50C-BCD28AC18CCC}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chartsheets/sheet1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D3A8CE0-4A87-4D91-A0A3-F1CF5EF6AA9A}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chartsheets/sheet1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AE81CA2-FEF5-41F4-9D96-2519707507AA}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chartsheets/sheet1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7FFAC09-1964-415E-8E6C-69B837EF29A3}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chartsheets/sheet1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6B4081A-04C8-432A-8901-FF27DE722ED5}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chartsheets/sheet1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115B712-3726-4182-9BD9-B9793FBEDE6C}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chartsheets/sheet1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E55CFD8-CD7D-4B74-81E5-F9A72E01B405}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DAECBFB-8572-4151-8911-E1D88D469EB7}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chartsheets/sheet2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E0FB431-C2BD-45D9-B336-533895CCD9DC}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chartsheets/sheet2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F2D5F5B-CA42-46CB-9657-F15454098B2C}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chartsheets/sheet2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5E2176F-E5FB-4D24-9285-A3F2E6D9727B}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chartsheets/sheet2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8AAFFA3-13EB-48F6-8A6B-707325285A68}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chartsheets/sheet2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21ACDA2-1F17-4F09-ACF8-900664810D84}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chartsheets/sheet2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EB95BFA-818A-4F68-B598-E01DD3E60EFF}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187847F-7EBE-44AC-98D7-E4A07875305D}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9F62BDF-3817-41E5-94F4-E9BAB8C207F8}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4F16A95-CE0F-4C8C-BFD5-EE9444B9D118}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FBD0774-BE38-4775-860F-BBDB53520375}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958FCDF-D0E4-4BA9-9239-970A88EAAFDD}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98B9CA5-81F9-42FA-8064-8BF9B01846F9}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17B07D7-4E7B-4C4B-A78B-F6813F1F613B}">
  <sheetPr/>
  <sheetViews>
    <sheetView zoomScale="80"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76250" cy="476250"/>
    <xdr:pic>
      <xdr:nvPicPr>
        <xdr:cNvPr id="2" name="Logo" descr="Log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8683625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96A041D-05ED-4959-9036-EBE99A713C1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1831313-0AD7-43ED-991D-5047C16A0E3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649A63B-8396-474E-91D0-85F2901CB44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450EC76-8F21-4EDD-9860-CB01B27E205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073F955-D86B-49F8-B8F6-BBE30AB1AD1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678CD37-1B12-4968-A067-7E061C289DE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7E08754-4DD7-4CE4-A75D-8EFDE3AD32E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7258386-5C35-442B-9ED2-1821D0E3A47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78E7F5B-7576-4FE6-9523-756AD5AB79B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8718509-BE4B-4760-916E-E72692D71E1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76250" cy="476250"/>
    <xdr:pic>
      <xdr:nvPicPr>
        <xdr:cNvPr id="2" name="Logo" descr="Log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76250" cy="476250"/>
        </a:xfrm>
        <a:prstGeom prst="rect">
          <a:avLst/>
        </a:prstGeom>
      </xdr:spPr>
    </xdr:pic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958E80D-679B-4D0F-B410-2C4603EDBD3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3C38C98-8DEB-42CC-946B-3E2DC06530D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7C36909-363F-4B09-9505-27865D21BFD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09756B9-5538-4105-BCCB-E5D181275E8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E44631B-5C0F-46FB-8F1F-FE87310223B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BC1EA3D-B3F5-4249-ACB5-1D9942CEFFE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17FEA0-C1E1-418B-A2C9-689747112BA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81064F0-233E-422A-812F-BFD3BFF9D8D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FFE1EBC-B607-4B8A-8D41-BA484D41E3E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9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7F0EAD9-65BF-4A2F-937D-22DD1064291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76250" cy="476250"/>
    <xdr:pic>
      <xdr:nvPicPr>
        <xdr:cNvPr id="2" name="Logo" descr="Log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76250" cy="476250"/>
        </a:xfrm>
        <a:prstGeom prst="rect">
          <a:avLst/>
        </a:prstGeom>
      </xdr:spPr>
    </xdr:pic>
    <xdr:clientData/>
  </xdr:oneCellAnchor>
</xdr:wsDr>
</file>

<file path=xl/drawings/drawing30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38A62C9-D74A-402B-A633-9DA94E12E23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76250" cy="476250"/>
    <xdr:pic>
      <xdr:nvPicPr>
        <xdr:cNvPr id="2" name="Logo" descr="Log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76250" cy="476250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B1694EF-0294-409C-8F61-9881354223E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28BA2F-807C-48E2-A069-0F64F14F361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76817F2-0ACD-4E2F-9FDA-E4164686C9F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48700" cy="627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F6AE9C2-4848-4218-B2EB-08B83513758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0.07159</cdr:x>
      <cdr:y>0.54476</cdr:y>
    </cdr:from>
    <cdr:to>
      <cdr:x>0.96916</cdr:x>
      <cdr:y>0.54628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4A00A32E-7046-4A1C-B9A0-C96687FE9695}"/>
            </a:ext>
          </a:extLst>
        </cdr:cNvPr>
        <cdr:cNvCxnSpPr/>
      </cdr:nvCxnSpPr>
      <cdr:spPr>
        <a:xfrm xmlns:a="http://schemas.openxmlformats.org/drawingml/2006/main">
          <a:off x="619125" y="3419475"/>
          <a:ext cx="7762875" cy="9525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Kloehr/Desktop/School%20-%20ORU/Spring%202020%20Semester/Advanced%20Financial%20Management/Final%20Adv%20fin%20man%20project/XOM%20Analysis%20-%20final%20project%20-%20David%20Kloehr%20-%20adv%20fin%20ma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rgent Bal. Sheet"/>
      <sheetName val="Mergent Inc. Statement"/>
      <sheetName val="Mergent Cash Flow"/>
      <sheetName val="Mergent Retained Earnings"/>
      <sheetName val="Ratio Calculations"/>
      <sheetName val="Industry Ratios"/>
      <sheetName val="Industry calculation"/>
      <sheetName val="Industry Ratios (data)"/>
      <sheetName val="Current Ratio Graph"/>
      <sheetName val="Quick Ratio Graph"/>
      <sheetName val="Debt Ratio Graph"/>
      <sheetName val="TIE Ratio Graph"/>
      <sheetName val="Inventory Turnover Ratio Graph"/>
      <sheetName val="Day Sales Outstanding Graph"/>
      <sheetName val="Fixed Asset Turnover Ratio"/>
      <sheetName val="Total Asset Turnover Ratio"/>
      <sheetName val="Profit Margin Ratio"/>
      <sheetName val="ROA Ratio Graph"/>
      <sheetName val="ROE Ratio Graph"/>
      <sheetName val="CF Generation with projections"/>
      <sheetName val="Cash Flow Generation Graph"/>
      <sheetName val="Cash Flow Generation"/>
      <sheetName val="Bal. Sheet for S&amp;U"/>
      <sheetName val="Sources and Uses"/>
      <sheetName val="S&amp;U allocation"/>
      <sheetName val="AFN"/>
      <sheetName val="Bal. Sheet for AFN"/>
      <sheetName val="Inc. Statement for AFN"/>
      <sheetName val="Sustainable Growth Rate"/>
      <sheetName val="Outstanding Debts"/>
      <sheetName val="XOM Value Line"/>
      <sheetName val="Cost of Equity"/>
      <sheetName val="WACC"/>
      <sheetName val="Dividend Policy"/>
      <sheetName val="Dividend Policy Graph"/>
      <sheetName val="Company Information"/>
      <sheetName val="Competitors"/>
    </sheetNames>
    <sheetDataSet>
      <sheetData sheetId="0"/>
      <sheetData sheetId="1"/>
      <sheetData sheetId="2"/>
      <sheetData sheetId="3"/>
      <sheetData sheetId="4">
        <row r="28">
          <cell r="B28">
            <v>7.2082759452693809E-2</v>
          </cell>
        </row>
      </sheetData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>
        <row r="32">
          <cell r="E32">
            <v>2.175732217573223E-2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A137"/>
  <sheetViews>
    <sheetView tabSelected="1" zoomScaleNormal="100" workbookViewId="0">
      <selection activeCell="B103" sqref="B103"/>
    </sheetView>
  </sheetViews>
  <sheetFormatPr baseColWidth="10" defaultColWidth="8.83203125" defaultRowHeight="13" x14ac:dyDescent="0.15"/>
  <cols>
    <col min="1" max="1" width="40.33203125" bestFit="1" customWidth="1"/>
    <col min="2" max="2" width="17.1640625" customWidth="1"/>
    <col min="3" max="3" width="18.1640625" customWidth="1"/>
    <col min="4" max="5" width="14.5" bestFit="1" customWidth="1"/>
    <col min="6" max="6" width="14.83203125" bestFit="1" customWidth="1"/>
    <col min="7" max="7" width="14.5" bestFit="1" customWidth="1"/>
    <col min="9" max="9" width="19.5" bestFit="1" customWidth="1"/>
    <col min="10" max="10" width="12.1640625" bestFit="1" customWidth="1"/>
    <col min="11" max="11" width="13.1640625" bestFit="1" customWidth="1"/>
    <col min="12" max="12" width="14.1640625" bestFit="1" customWidth="1"/>
    <col min="13" max="13" width="14.1640625" customWidth="1"/>
    <col min="14" max="14" width="12.6640625" customWidth="1"/>
    <col min="15" max="15" width="12.5" customWidth="1"/>
    <col min="16" max="16" width="13.1640625" bestFit="1" customWidth="1"/>
    <col min="17" max="17" width="12.5" customWidth="1"/>
    <col min="18" max="18" width="14.1640625" bestFit="1" customWidth="1"/>
    <col min="19" max="19" width="14.1640625" customWidth="1"/>
    <col min="23" max="24" width="14.1640625" bestFit="1" customWidth="1"/>
  </cols>
  <sheetData>
    <row r="2" spans="1:16" x14ac:dyDescent="0.15">
      <c r="A2" s="34" t="s">
        <v>239</v>
      </c>
      <c r="B2" s="34"/>
    </row>
    <row r="3" spans="1:16" ht="20" x14ac:dyDescent="0.25">
      <c r="A3" s="14" t="s">
        <v>154</v>
      </c>
      <c r="B3" s="14">
        <v>2020</v>
      </c>
      <c r="C3" s="14">
        <v>2019</v>
      </c>
      <c r="D3" s="14">
        <v>2018</v>
      </c>
      <c r="E3" s="14">
        <v>2017</v>
      </c>
      <c r="F3" s="14">
        <v>2016</v>
      </c>
      <c r="G3" s="14">
        <v>2015</v>
      </c>
      <c r="J3" s="14" t="s">
        <v>162</v>
      </c>
      <c r="K3" s="33" t="s">
        <v>163</v>
      </c>
      <c r="N3" s="15"/>
    </row>
    <row r="4" spans="1:16" x14ac:dyDescent="0.15">
      <c r="A4" s="51" t="s">
        <v>155</v>
      </c>
      <c r="B4" s="30">
        <f>('Inc Statement'!B16-'Inc Statement'!B18)/'Inc Statement'!B16</f>
        <v>0.47244383310408072</v>
      </c>
      <c r="C4" s="30">
        <f>('Inc Statement'!C16-'Inc Statement'!C18)/'Inc Statement'!C16</f>
        <v>0.42773778920308481</v>
      </c>
      <c r="D4" s="30">
        <f>('Inc Statement'!D16-'Inc Statement'!D18)/'Inc Statement'!D16</f>
        <v>0.44893356880858581</v>
      </c>
      <c r="E4" s="30">
        <f>('Inc Statement'!E16-'Inc Statement'!E18)/'Inc Statement'!E16</f>
        <v>0.4406529267879199</v>
      </c>
      <c r="F4" s="30">
        <f>('Inc Statement'!F16-'Inc Statement'!F18)/'Inc Statement'!F16</f>
        <v>0.4053412462908012</v>
      </c>
      <c r="G4" s="30">
        <f>('Inc Statement'!G16-'Inc Statement'!G18)/'Inc Statement'!G16</f>
        <v>0.39706375385050557</v>
      </c>
      <c r="J4" s="32">
        <f>AVERAGE(B4:G4)</f>
        <v>0.43202885300749633</v>
      </c>
      <c r="K4" s="30">
        <f>STDEV(B4:G4)</f>
        <v>2.8095246647751017E-2</v>
      </c>
    </row>
    <row r="5" spans="1:16" x14ac:dyDescent="0.15">
      <c r="A5" s="29" t="s">
        <v>157</v>
      </c>
      <c r="B5" s="30">
        <f>'Inc Statement'!B25/'Inc Statement'!B16</f>
        <v>3.8667278007030417E-2</v>
      </c>
      <c r="C5" s="30">
        <f>'Inc Statement'!C25/'Inc Statement'!C16</f>
        <v>7.1979434447300768E-4</v>
      </c>
      <c r="D5" s="30">
        <f>'Inc Statement'!D25/'Inc Statement'!D16</f>
        <v>3.5321287868496129E-2</v>
      </c>
      <c r="E5" s="30">
        <f>'Inc Statement'!E25/'Inc Statement'!E16</f>
        <v>6.0231043084449397E-2</v>
      </c>
      <c r="F5" s="30">
        <f>'Inc Statement'!F25/'Inc Statement'!F16</f>
        <v>-5.091363423395283E-3</v>
      </c>
      <c r="G5" s="30">
        <f>'Inc Statement'!G25/'Inc Statement'!G16</f>
        <v>-1.0662774732589283E-2</v>
      </c>
      <c r="J5" s="32">
        <f>AVERAGE(B5:G5)</f>
        <v>1.9864210858077398E-2</v>
      </c>
      <c r="K5" s="30">
        <f>STDEV(B5:G5)</f>
        <v>2.8785912973269955E-2</v>
      </c>
    </row>
    <row r="6" spans="1:16" x14ac:dyDescent="0.15">
      <c r="A6" s="29" t="s">
        <v>161</v>
      </c>
      <c r="B6" s="30">
        <f>B83/'Inc Statement'!B16</f>
        <v>5.016047684548372E-2</v>
      </c>
      <c r="C6" s="30">
        <f>C83/'Inc Statement'!C16</f>
        <v>-3.0334190231362467E-3</v>
      </c>
      <c r="D6" s="30">
        <f>D83/'Inc Statement'!D16</f>
        <v>-2.9669881809536749E-2</v>
      </c>
      <c r="E6" s="30">
        <f>E83/'Inc Statement'!E16</f>
        <v>8.292363953403889E-2</v>
      </c>
      <c r="F6" s="30">
        <f>F83/'Inc Statement'!F16</f>
        <v>-5.9971888177416839E-3</v>
      </c>
      <c r="G6" s="30">
        <f>G83/'Inc Statement'!G16</f>
        <v>8.9681475697351003E-3</v>
      </c>
      <c r="J6" s="32">
        <f>AVERAGE(B6:G6)</f>
        <v>1.722529571647384E-2</v>
      </c>
      <c r="K6" s="30">
        <f>STDEV(B6:G6)</f>
        <v>4.1516348630214792E-2</v>
      </c>
    </row>
    <row r="7" spans="1:16" x14ac:dyDescent="0.15">
      <c r="A7" s="51" t="s">
        <v>673</v>
      </c>
      <c r="B7" s="30">
        <f>B82/'Inc Statement'!B16</f>
        <v>0.52162616536756834</v>
      </c>
      <c r="C7" s="30">
        <f>C82/'Inc Statement'!C16</f>
        <v>0.48349614395886892</v>
      </c>
      <c r="D7" s="30">
        <f>D82/'Inc Statement'!D16</f>
        <v>0.39709278630620842</v>
      </c>
      <c r="E7" s="30">
        <f>E82/'Inc Statement'!E16</f>
        <v>0.6019471555544792</v>
      </c>
      <c r="F7" s="30">
        <f>F82/'Inc Statement'!F16</f>
        <v>0.44938310167109169</v>
      </c>
      <c r="G7" s="30">
        <f>G82/'Inc Statement'!G16</f>
        <v>0.46580904389033234</v>
      </c>
      <c r="J7" s="32">
        <f>AVERAGE(B7:G7)</f>
        <v>0.48655906612475813</v>
      </c>
      <c r="K7" s="30">
        <f>STDEV(B7:G7)</f>
        <v>6.9814504372803787E-2</v>
      </c>
    </row>
    <row r="8" spans="1:16" x14ac:dyDescent="0.15">
      <c r="A8" s="29" t="s">
        <v>156</v>
      </c>
      <c r="B8" s="30">
        <f>'Inc Statement'!B62/'Inc Statement'!B16</f>
        <v>-1.0545621274644659E-2</v>
      </c>
      <c r="C8" s="30">
        <f>'Inc Statement'!C62/'Inc Statement'!C16</f>
        <v>-5.305912596401028E-2</v>
      </c>
      <c r="D8" s="30">
        <f>'Inc Statement'!D62/'Inc Statement'!D16</f>
        <v>-8.140198342616492E-2</v>
      </c>
      <c r="E8" s="30">
        <f>'Inc Statement'!E62/'Inc Statement'!E16</f>
        <v>0.11336610883727689</v>
      </c>
      <c r="F8" s="30">
        <f>'Inc Statement'!F62/'Inc Statement'!F16</f>
        <v>4.5291269717320009E-3</v>
      </c>
      <c r="G8" s="30">
        <f>'Inc Statement'!G62/'Inc Statement'!G16</f>
        <v>1.8190191014045638E-2</v>
      </c>
      <c r="J8" s="32">
        <f>AVERAGE(B8:G8)</f>
        <v>-1.4868839736275556E-3</v>
      </c>
      <c r="K8" s="30">
        <f>STDEV(B8:G8)</f>
        <v>6.7442967922978062E-2</v>
      </c>
      <c r="L8" s="31"/>
      <c r="M8" s="31"/>
      <c r="N8" s="31"/>
      <c r="O8" s="31"/>
      <c r="P8" s="31"/>
    </row>
    <row r="9" spans="1:16" x14ac:dyDescent="0.15">
      <c r="A9" s="39"/>
      <c r="B9" s="39"/>
      <c r="C9" s="40"/>
      <c r="D9" s="40"/>
      <c r="E9" s="40"/>
      <c r="F9" s="40"/>
      <c r="G9" s="40"/>
      <c r="J9" s="41"/>
      <c r="K9" s="40"/>
    </row>
    <row r="10" spans="1:16" x14ac:dyDescent="0.15">
      <c r="A10" s="38" t="s">
        <v>166</v>
      </c>
      <c r="B10" s="30">
        <f>'Inc Statement'!B62/'Bal. Sheet'!B54</f>
        <v>-4.1535238737328744E-3</v>
      </c>
      <c r="C10" s="30">
        <f>'Inc Statement'!C62/'Bal. Sheet'!C54</f>
        <v>-2.5958345910051313E-2</v>
      </c>
      <c r="D10" s="30">
        <f>'Inc Statement'!D62/'Bal. Sheet'!D54</f>
        <v>-3.5628916980817944E-2</v>
      </c>
      <c r="E10" s="30">
        <f>'Inc Statement'!E62/'Bal. Sheet'!E54</f>
        <v>5.2199027610508944E-2</v>
      </c>
      <c r="F10" s="30">
        <f>'Inc Statement'!F62/'Bal. Sheet'!F54</f>
        <v>1.5766182083093215E-3</v>
      </c>
      <c r="G10" s="30">
        <f>'Inc Statement'!G62/'Bal. Sheet'!G54</f>
        <v>1.1075064556992231E-2</v>
      </c>
      <c r="J10" s="32">
        <f>AVERAGE(B10:G10)</f>
        <v>-1.4834606479860514E-4</v>
      </c>
      <c r="K10" s="30">
        <f>STDEV(B10:G10)</f>
        <v>3.101695159828222E-2</v>
      </c>
    </row>
    <row r="11" spans="1:16" x14ac:dyDescent="0.15">
      <c r="A11" s="38" t="s">
        <v>167</v>
      </c>
      <c r="B11" s="30">
        <f>'Inc Statement'!B62/'Bal. Sheet'!B96</f>
        <v>-1.2352309344790547E-2</v>
      </c>
      <c r="C11" s="30">
        <f>'Inc Statement'!C62/'Bal. Sheet'!C96</f>
        <v>-7.7652370203160265E-2</v>
      </c>
      <c r="D11" s="30">
        <f>'Inc Statement'!D62/'Bal. Sheet'!D96</f>
        <v>-0.10264843937369376</v>
      </c>
      <c r="E11" s="30">
        <f>'Inc Statement'!E62/'Bal. Sheet'!E96</f>
        <v>0.14832535885167464</v>
      </c>
      <c r="F11" s="30">
        <f>'Inc Statement'!F62/'Bal. Sheet'!F96</f>
        <v>5.7667833280305439E-3</v>
      </c>
      <c r="G11" s="30">
        <f>'Inc Statement'!G62/'Bal. Sheet'!G96</f>
        <v>5.021916490350746E-2</v>
      </c>
      <c r="J11" s="32">
        <f>AVERAGE(B11:G11)</f>
        <v>1.943031360261344E-3</v>
      </c>
      <c r="K11" s="30">
        <f>STDEV(B11:G11)</f>
        <v>9.0831880325145054E-2</v>
      </c>
    </row>
    <row r="12" spans="1:16" x14ac:dyDescent="0.15">
      <c r="J12" s="31"/>
    </row>
    <row r="13" spans="1:16" x14ac:dyDescent="0.15">
      <c r="A13" s="35" t="s">
        <v>168</v>
      </c>
      <c r="B13" s="35"/>
    </row>
    <row r="14" spans="1:16" x14ac:dyDescent="0.15">
      <c r="A14" s="51" t="s">
        <v>169</v>
      </c>
      <c r="B14" s="30">
        <f>'Bal. Sheet'!B86/'Bal. Sheet'!B54</f>
        <v>0.66355252702800316</v>
      </c>
      <c r="C14" s="30">
        <f>'Bal. Sheet'!C86/'Bal. Sheet'!C54</f>
        <v>0.66545930174061774</v>
      </c>
      <c r="D14" s="30">
        <f>'Bal. Sheet'!D86/'Bal. Sheet'!D54</f>
        <v>0.65252292214201624</v>
      </c>
      <c r="E14" s="30">
        <f>'Bal. Sheet'!E86/'Bal. Sheet'!E54</f>
        <v>0.64796601097283557</v>
      </c>
      <c r="F14" s="30">
        <f>'Bal. Sheet'!F86/'Bal. Sheet'!F54</f>
        <v>0.72660352945014084</v>
      </c>
      <c r="G14" s="30">
        <f>'Bal. Sheet'!G86/'Bal. Sheet'!G54</f>
        <v>0.7794653778438535</v>
      </c>
      <c r="J14" s="32">
        <f>AVERAGE(B14:G14)</f>
        <v>0.68926161152957788</v>
      </c>
      <c r="K14" s="30">
        <f>STDEV(B14:G14)</f>
        <v>5.2561779253984531E-2</v>
      </c>
    </row>
    <row r="15" spans="1:16" x14ac:dyDescent="0.15">
      <c r="A15" s="51" t="s">
        <v>170</v>
      </c>
      <c r="B15" s="30">
        <f>'Bal. Sheet'!B86/'Bal. Sheet'!B96</f>
        <v>1.9733619763694952</v>
      </c>
      <c r="C15" s="30">
        <f>'Bal. Sheet'!C86/'Bal. Sheet'!C96</f>
        <v>1.9906696764484575</v>
      </c>
      <c r="D15" s="30">
        <f>'Bal. Sheet'!D86/'Bal. Sheet'!D96</f>
        <v>1.8799465515469216</v>
      </c>
      <c r="E15" s="30">
        <f>'Bal. Sheet'!E86/'Bal. Sheet'!E96</f>
        <v>1.8412180360594441</v>
      </c>
      <c r="F15" s="30">
        <f>'Bal. Sheet'!F86/'Bal. Sheet'!F96</f>
        <v>2.6576916958320078</v>
      </c>
      <c r="G15" s="30">
        <f>'Bal. Sheet'!G86/'Bal. Sheet'!G96</f>
        <v>3.5344354107445493</v>
      </c>
      <c r="J15" s="32">
        <f>AVERAGE(B15:G15)</f>
        <v>2.3128872245001459</v>
      </c>
      <c r="K15" s="30">
        <f>STDEV(B15:G15)</f>
        <v>0.66934013577247387</v>
      </c>
    </row>
    <row r="16" spans="1:16" x14ac:dyDescent="0.15">
      <c r="A16" s="51" t="s">
        <v>171</v>
      </c>
      <c r="B16" s="53">
        <f>('Inc Statement'!B87)/'Inc Statement'!B32</f>
        <v>0.90413223140495869</v>
      </c>
      <c r="C16" s="53">
        <f>('Inc Statement'!C87)/'Inc Statement'!C32</f>
        <v>-6.1683220073183484E-2</v>
      </c>
      <c r="D16" s="53">
        <f>('Inc Statement'!D87)/'Inc Statement'!D32</f>
        <v>-0.5490196078431373</v>
      </c>
      <c r="E16" s="53">
        <f>('Inc Statement'!E87)/'Inc Statement'!E32</f>
        <v>1.7676819824470831</v>
      </c>
      <c r="F16" s="53">
        <f>('Inc Statement'!F87)/'Inc Statement'!F32</f>
        <v>-0.16666666666666666</v>
      </c>
      <c r="G16" s="53">
        <f>('Inc Statement'!G87)/'Inc Statement'!G32</f>
        <v>0.38360757302428983</v>
      </c>
      <c r="J16" s="54">
        <f>AVERAGE(B16:G16)</f>
        <v>0.37967538204889067</v>
      </c>
      <c r="K16" s="53">
        <f>STDEV(B16:G16)</f>
        <v>0.84349205163104235</v>
      </c>
    </row>
    <row r="18" spans="1:11" x14ac:dyDescent="0.15">
      <c r="A18" s="35" t="s">
        <v>172</v>
      </c>
      <c r="B18" s="35"/>
    </row>
    <row r="19" spans="1:11" x14ac:dyDescent="0.15">
      <c r="A19" s="51" t="s">
        <v>175</v>
      </c>
      <c r="B19" s="57">
        <f>'Bal. Sheet'!B28/'Bal. Sheet'!B63</f>
        <v>0.70098647291629745</v>
      </c>
      <c r="C19" s="57">
        <f>'Bal. Sheet'!C28/'Bal. Sheet'!C63</f>
        <v>0.86761292034224313</v>
      </c>
      <c r="D19" s="57">
        <f>'Bal. Sheet'!D28/'Bal. Sheet'!D63</f>
        <v>0.84386347131445172</v>
      </c>
      <c r="E19" s="57">
        <f>'Bal. Sheet'!E28/'Bal. Sheet'!E63</f>
        <v>0.73499419665063837</v>
      </c>
      <c r="F19" s="57">
        <f>'Bal. Sheet'!F28/'Bal. Sheet'!F63</f>
        <v>1.0002958754955915</v>
      </c>
      <c r="G19" s="57">
        <f>'Bal. Sheet'!G28/'Bal. Sheet'!G63</f>
        <v>0.5214129684174923</v>
      </c>
      <c r="J19" s="57">
        <f>AVERAGE(B19:G19)</f>
        <v>0.77819431752278578</v>
      </c>
      <c r="K19" s="57">
        <f>STDEV(B19:G19)</f>
        <v>0.16456074216187022</v>
      </c>
    </row>
    <row r="20" spans="1:11" x14ac:dyDescent="0.15">
      <c r="A20" s="51" t="s">
        <v>176</v>
      </c>
      <c r="B20" s="57">
        <f>('Bal. Sheet'!B28-'Bal. Sheet'!B22-'Bal. Sheet'!B24-'Bal. Sheet'!B26-'Bal. Sheet'!B23)/'Bal. Sheet'!B63</f>
        <v>0.6119676295114892</v>
      </c>
      <c r="C20" s="57">
        <f>('Bal. Sheet'!C28-'Bal. Sheet'!C22-'Bal. Sheet'!C24-'Bal. Sheet'!C26-'Bal. Sheet'!C23)/'Bal. Sheet'!C63</f>
        <v>0.55727266697618894</v>
      </c>
      <c r="D20" s="57">
        <f>('Bal. Sheet'!D28-'Bal. Sheet'!D22-'Bal. Sheet'!D24-'Bal. Sheet'!D26-'Bal. Sheet'!D23)/'Bal. Sheet'!D63</f>
        <v>0.5032074558218349</v>
      </c>
      <c r="E20" s="57">
        <f>('Bal. Sheet'!E28-'Bal. Sheet'!E22-'Bal. Sheet'!E24-'Bal. Sheet'!E26-'Bal. Sheet'!E23)/'Bal. Sheet'!E63</f>
        <v>0.54887249212402589</v>
      </c>
      <c r="F20" s="57">
        <f>('Bal. Sheet'!F28-'Bal. Sheet'!F22-'Bal. Sheet'!F24-'Bal. Sheet'!F26-'Bal. Sheet'!F23)/'Bal. Sheet'!F63</f>
        <v>0.8454346411030238</v>
      </c>
      <c r="G20" s="57">
        <f>('Bal. Sheet'!G28-'Bal. Sheet'!G22-'Bal. Sheet'!G24-'Bal. Sheet'!G26-'Bal. Sheet'!G23)/'Bal. Sheet'!G63</f>
        <v>0.5214129684174923</v>
      </c>
      <c r="J20" s="57">
        <f>AVERAGE(B20:G20)</f>
        <v>0.59802797565900911</v>
      </c>
      <c r="K20" s="57">
        <f>STDEV(B20:G20)</f>
        <v>0.12676152343661179</v>
      </c>
    </row>
    <row r="22" spans="1:11" x14ac:dyDescent="0.15">
      <c r="A22" s="35" t="s">
        <v>177</v>
      </c>
      <c r="B22" s="35"/>
    </row>
    <row r="23" spans="1:11" x14ac:dyDescent="0.15">
      <c r="A23" s="51" t="s">
        <v>178</v>
      </c>
      <c r="B23" s="54" t="e">
        <f>'Inc Statement'!B16/'Bal. Sheet'!B22</f>
        <v>#DIV/0!</v>
      </c>
      <c r="C23" s="54">
        <f>'Inc Statement'!C16/'Bal. Sheet'!C22</f>
        <v>12.528180354267311</v>
      </c>
      <c r="D23" s="54">
        <f>'Inc Statement'!D16/'Bal. Sheet'!D22</f>
        <v>12.446736557321609</v>
      </c>
      <c r="E23" s="54">
        <f>'Inc Statement'!E16/'Bal. Sheet'!E22</f>
        <v>16.307661927330173</v>
      </c>
      <c r="F23" s="54">
        <f>'Inc Statement'!F16/'Bal. Sheet'!F22</f>
        <v>12.233473442873519</v>
      </c>
      <c r="G23" s="94" t="s">
        <v>271</v>
      </c>
      <c r="J23" s="54">
        <f>AVERAGE(C23:F23)</f>
        <v>13.379013070448153</v>
      </c>
      <c r="K23" s="54">
        <f>STDEV(C23:F23)</f>
        <v>1.9563827993784217</v>
      </c>
    </row>
    <row r="24" spans="1:11" x14ac:dyDescent="0.15">
      <c r="A24" s="51" t="s">
        <v>179</v>
      </c>
      <c r="B24" s="54" t="e">
        <f>'Inc Statement'!B18/'Bal. Sheet'!B22</f>
        <v>#DIV/0!</v>
      </c>
      <c r="C24" s="54">
        <f>'Inc Statement'!C18/'Bal. Sheet'!C22</f>
        <v>7.1694041867954912</v>
      </c>
      <c r="D24" s="54">
        <f>'Inc Statement'!D18/'Bal. Sheet'!D22</f>
        <v>6.8589786946229285</v>
      </c>
      <c r="E24" s="54">
        <f>'Inc Statement'!E18/'Bal. Sheet'!E22</f>
        <v>9.1216429699842028</v>
      </c>
      <c r="F24" s="54">
        <f>'Inc Statement'!F18/'Bal. Sheet'!F22</f>
        <v>7.2747420710737485</v>
      </c>
      <c r="G24" s="93" t="s">
        <v>271</v>
      </c>
      <c r="J24" s="54">
        <f>AVERAGE(C24:F24)</f>
        <v>7.6061919806190934</v>
      </c>
      <c r="K24" s="54">
        <f>STDEV(C24:F24)</f>
        <v>1.0255993394608731</v>
      </c>
    </row>
    <row r="25" spans="1:11" x14ac:dyDescent="0.15">
      <c r="A25" s="51" t="s">
        <v>180</v>
      </c>
      <c r="B25" s="54">
        <f>('Bal. Sheet'!B21+'Bal. Sheet'!B47)/('Inc Statement'!B16/360)</f>
        <v>47.658872077028889</v>
      </c>
      <c r="C25" s="54">
        <f>('Bal. Sheet'!C21+'Bal. Sheet'!C47)/('Inc Statement'!C16/360)</f>
        <v>53.268894601542421</v>
      </c>
      <c r="D25" s="54">
        <f>('Bal. Sheet'!D21+'Bal. Sheet'!D47)/('Inc Statement'!D16/360)</f>
        <v>80.529275913598696</v>
      </c>
      <c r="E25" s="54">
        <f>('Bal. Sheet'!E21+'Bal. Sheet'!E47)/('Inc Statement'!E16/360)</f>
        <v>110.83093168002712</v>
      </c>
      <c r="F25" s="54">
        <f>('Bal. Sheet'!F21+'Bal. Sheet'!F47)/('Inc Statement'!F16/360)</f>
        <v>137.32063095424022</v>
      </c>
      <c r="G25" s="54">
        <f>('Bal. Sheet'!G21+'Bal. Sheet'!G47)/('Inc Statement'!G16/360)</f>
        <v>160.9188815460725</v>
      </c>
      <c r="J25" s="54">
        <f>AVERAGE(B25:G25)</f>
        <v>98.42124779541831</v>
      </c>
      <c r="K25" s="54">
        <f>STDEV(B25:G25)</f>
        <v>45.844940689290759</v>
      </c>
    </row>
    <row r="26" spans="1:11" x14ac:dyDescent="0.15">
      <c r="A26" s="51" t="s">
        <v>181</v>
      </c>
      <c r="B26" s="54">
        <f>('Bal. Sheet'!B21+'Bal. Sheet'!B47)/('Inc Statement'!B16/365)</f>
        <v>48.320800855876513</v>
      </c>
      <c r="C26" s="54">
        <f>('Bal. Sheet'!C21+'Bal. Sheet'!C47)/('Inc Statement'!C16/365)</f>
        <v>54.008740359897175</v>
      </c>
      <c r="D26" s="54">
        <f>('Bal. Sheet'!D21+'Bal. Sheet'!D47)/('Inc Statement'!D16/365)</f>
        <v>81.647738079065348</v>
      </c>
      <c r="E26" s="54">
        <f>('Bal. Sheet'!E21+'Bal. Sheet'!E47)/('Inc Statement'!E16/365)</f>
        <v>112.37025017558305</v>
      </c>
      <c r="F26" s="54">
        <f>('Bal. Sheet'!F21+'Bal. Sheet'!F47)/('Inc Statement'!F16/365)</f>
        <v>139.22786193971575</v>
      </c>
      <c r="G26" s="54">
        <f>('Bal. Sheet'!G21+'Bal. Sheet'!G47)/('Inc Statement'!G16/365)</f>
        <v>163.15386601199017</v>
      </c>
      <c r="J26" s="54">
        <f>AVERAGE(B26:G26)</f>
        <v>99.788209570354681</v>
      </c>
      <c r="K26" s="54">
        <f>STDEV(B26:G26)</f>
        <v>46.481675976641988</v>
      </c>
    </row>
    <row r="27" spans="1:11" x14ac:dyDescent="0.15">
      <c r="A27" s="34" t="s">
        <v>182</v>
      </c>
      <c r="B27" s="54">
        <f>'Inc Statement'!B16/(AVERAGE('Bal. Sheet'!B41:C41))</f>
        <v>28.202586206896552</v>
      </c>
      <c r="C27" s="54">
        <f>'Inc Statement'!C16/(AVERAGE('Bal. Sheet'!C41:D41))</f>
        <v>26.266036461850103</v>
      </c>
      <c r="D27" s="54">
        <f>'Inc Statement'!D16/(AVERAGE('Bal. Sheet'!D41:E41))</f>
        <v>23.220820189274448</v>
      </c>
      <c r="E27" s="54">
        <f>'Inc Statement'!E16/(AVERAGE('Bal. Sheet'!E41:F41))</f>
        <v>25.238997555012226</v>
      </c>
      <c r="F27" s="54">
        <f>'Inc Statement'!F16/(AVERAGE('Bal. Sheet'!F41:G41))</f>
        <v>30.653376993929644</v>
      </c>
      <c r="G27" s="54">
        <f>'Inc Statement'!G16/(AVERAGE('Bal. Sheet'!G41:H41))</f>
        <v>54.107943020468376</v>
      </c>
      <c r="J27" s="54">
        <f>AVERAGE(B27:G27)</f>
        <v>31.281626737905224</v>
      </c>
      <c r="K27" s="54">
        <f>STDEV(B27:G27)</f>
        <v>11.467885758392137</v>
      </c>
    </row>
    <row r="28" spans="1:11" x14ac:dyDescent="0.15">
      <c r="A28" s="51" t="s">
        <v>183</v>
      </c>
      <c r="B28" s="54">
        <f>'Inc Statement'!B16/(AVERAGE('Bal. Sheet'!B54:C54))</f>
        <v>0.40246287844304746</v>
      </c>
      <c r="C28" s="54">
        <f>'Inc Statement'!C16/(AVERAGE('Bal. Sheet'!C54:D54))</f>
        <v>0.47554721548156798</v>
      </c>
      <c r="D28" s="54">
        <f>'Inc Statement'!D16/(AVERAGE('Bal. Sheet'!D54:E54))</f>
        <v>0.42361810491180618</v>
      </c>
      <c r="E28" s="54">
        <f>'Inc Statement'!E16/(AVERAGE('Bal. Sheet'!E54:F54))</f>
        <v>0.45463403892207327</v>
      </c>
      <c r="F28" s="54">
        <f>'Inc Statement'!F16/(AVERAGE('Bal. Sheet'!F54:G54))</f>
        <v>0.49056082218698649</v>
      </c>
      <c r="G28" s="54">
        <f>'Inc Statement'!G16/(AVERAGE('Bal. Sheet'!G54:H54))</f>
        <v>0.60884817253653734</v>
      </c>
      <c r="J28" s="54">
        <f>AVERAGE(B28:G28)</f>
        <v>0.47594520541366975</v>
      </c>
      <c r="K28" s="54">
        <f>STDEV(B28:G28)</f>
        <v>7.2758390527684055E-2</v>
      </c>
    </row>
    <row r="31" spans="1:11" ht="16" x14ac:dyDescent="0.2">
      <c r="A31" s="266" t="s">
        <v>243</v>
      </c>
      <c r="B31" s="266"/>
    </row>
    <row r="33" spans="1:19" x14ac:dyDescent="0.15">
      <c r="A33" s="35" t="s">
        <v>154</v>
      </c>
      <c r="B33" s="35"/>
    </row>
    <row r="34" spans="1:19" x14ac:dyDescent="0.15">
      <c r="A34" s="51" t="s">
        <v>236</v>
      </c>
      <c r="B34" s="30">
        <f>('Inc Statement'!B16-'Inc Statement'!B18-'Inc Statement'!B19)/'Inc Statement'!B16</f>
        <v>0.25257527128228641</v>
      </c>
      <c r="C34" s="30">
        <f>('Inc Statement'!C16-'Inc Statement'!C18-'Inc Statement'!C19)/'Inc Statement'!C16</f>
        <v>0.16843187660668379</v>
      </c>
      <c r="D34" s="30">
        <f>('Inc Statement'!D16-'Inc Statement'!D18-'Inc Statement'!D19)/'Inc Statement'!D16</f>
        <v>0.2219263686999049</v>
      </c>
      <c r="E34" s="30">
        <f>('Inc Statement'!E16-'Inc Statement'!E18-'Inc Statement'!E19)/'Inc Statement'!E16</f>
        <v>0.22326899324307961</v>
      </c>
      <c r="F34" s="30">
        <f>('Inc Statement'!F16-'Inc Statement'!F18-'Inc Statement'!F19)/'Inc Statement'!F16</f>
        <v>0.15333437451194754</v>
      </c>
      <c r="G34" s="30">
        <f>('Inc Statement'!G16-'Inc Statement'!G18-'Inc Statement'!G19)/'Inc Statement'!G16</f>
        <v>0.11514177911996111</v>
      </c>
      <c r="J34" s="32">
        <f>AVERAGE(B34:G34)</f>
        <v>0.18911311057731053</v>
      </c>
      <c r="K34" s="30">
        <f>STDEV(B34:G34)</f>
        <v>5.1865922032096806E-2</v>
      </c>
    </row>
    <row r="35" spans="1:19" x14ac:dyDescent="0.15">
      <c r="A35" s="38" t="s">
        <v>674</v>
      </c>
      <c r="B35" s="30">
        <f>B81/'Inc Statement'!B16</f>
        <v>0.10777930612868715</v>
      </c>
      <c r="C35" s="30">
        <f>C81/'Inc Statement'!C16</f>
        <v>4.7789203084832907E-2</v>
      </c>
      <c r="D35" s="30">
        <f>D81/'Inc Statement'!D16</f>
        <v>1.4726260019019156E-2</v>
      </c>
      <c r="E35" s="30">
        <f>E81/'Inc Statement'!E16</f>
        <v>0.12143082027560485</v>
      </c>
      <c r="F35" s="30">
        <f>F81/'Inc Statement'!F16</f>
        <v>1.3712322348898954E-2</v>
      </c>
      <c r="G35" s="30">
        <f>G81/'Inc Statement'!G16</f>
        <v>1.4541928816287165E-2</v>
      </c>
      <c r="J35" s="32">
        <f>AVERAGE(B35:G35)</f>
        <v>5.332997344555504E-2</v>
      </c>
      <c r="K35" s="30">
        <f>STDEV(B35:G35)</f>
        <v>4.9391239465506671E-2</v>
      </c>
    </row>
    <row r="37" spans="1:19" x14ac:dyDescent="0.15">
      <c r="A37" s="51" t="s">
        <v>292</v>
      </c>
      <c r="B37" s="30">
        <f>B83/'Bal. Sheet'!B54</f>
        <v>1.975632659940767E-2</v>
      </c>
      <c r="C37" s="30">
        <f>C83/'Bal. Sheet'!C54</f>
        <v>-1.4840527216017708E-3</v>
      </c>
      <c r="D37" s="30">
        <f>D83/'Bal. Sheet'!D54</f>
        <v>-1.2986240768709344E-2</v>
      </c>
      <c r="E37" s="30">
        <f>E83/'Bal. Sheet'!E54</f>
        <v>3.8181899281859139E-2</v>
      </c>
      <c r="F37" s="30">
        <f>F83/'Bal. Sheet'!F54</f>
        <v>-2.0876599723819982E-3</v>
      </c>
      <c r="G37" s="30">
        <f>G83/'Bal. Sheet'!G54</f>
        <v>5.4602402588712047E-3</v>
      </c>
      <c r="J37" s="32">
        <f>AVERAGE(B37:G37)</f>
        <v>7.806752112907483E-3</v>
      </c>
      <c r="K37" s="30">
        <f>STDEV(B37:G37)</f>
        <v>1.8371254784507518E-2</v>
      </c>
    </row>
    <row r="38" spans="1:19" x14ac:dyDescent="0.15">
      <c r="A38" s="51" t="s">
        <v>291</v>
      </c>
      <c r="B38" s="30">
        <f>B82/'Bal. Sheet'!B54</f>
        <v>0.20544894175435216</v>
      </c>
      <c r="C38" s="30">
        <f>C82/'Bal. Sheet'!C54</f>
        <v>0.23654291176174666</v>
      </c>
      <c r="D38" s="30">
        <f>D82/'Bal. Sheet'!D54</f>
        <v>0.1738039458193105</v>
      </c>
      <c r="E38" s="30">
        <f>E82/'Bal. Sheet'!E54</f>
        <v>0.27716445871805168</v>
      </c>
      <c r="F38" s="30">
        <f>F82/'Bal. Sheet'!F54</f>
        <v>0.15643314595135319</v>
      </c>
      <c r="G38" s="30">
        <f>G82/'Bal. Sheet'!G54</f>
        <v>0.28360698512362054</v>
      </c>
      <c r="J38" s="32">
        <f>AVERAGE(B38:G38)</f>
        <v>0.22216673152140579</v>
      </c>
      <c r="K38" s="30">
        <f>STDEV(B38:G38)</f>
        <v>5.2812265857964308E-2</v>
      </c>
    </row>
    <row r="40" spans="1:19" x14ac:dyDescent="0.15">
      <c r="A40" s="51" t="s">
        <v>242</v>
      </c>
      <c r="B40" s="30">
        <f>'Inc Statement'!B62/'Bal. Sheet'!B31</f>
        <v>-1.5521662842488865E-2</v>
      </c>
      <c r="C40" s="30">
        <f>'Inc Statement'!C62/'Bal. Sheet'!C31</f>
        <v>-0.13603110788901338</v>
      </c>
      <c r="D40" s="30">
        <f>'Inc Statement'!D62/'Bal. Sheet'!D31</f>
        <v>-0.17918660287081339</v>
      </c>
      <c r="E40" s="30">
        <f>'Inc Statement'!E62/'Bal. Sheet'!E31</f>
        <v>0.27665484633569742</v>
      </c>
      <c r="F40" s="30">
        <f>'Inc Statement'!F62/'Bal. Sheet'!F31</f>
        <v>8.3839259901705692E-3</v>
      </c>
      <c r="G40" s="30">
        <f>'Inc Statement'!G62/'Bal. Sheet'!G30</f>
        <v>2.8884607683440935E-2</v>
      </c>
      <c r="J40" s="32">
        <f>AVERAGE(B40:G40)</f>
        <v>-2.8026655988344523E-3</v>
      </c>
      <c r="K40" s="30">
        <f>STDEV(B40:G40)</f>
        <v>0.16015530471988795</v>
      </c>
    </row>
    <row r="41" spans="1:19" x14ac:dyDescent="0.15">
      <c r="A41" s="38" t="s">
        <v>244</v>
      </c>
      <c r="B41" s="30">
        <f>'Inc Statement'!B87/'Bal. Sheet'!B31</f>
        <v>7.3829126737751383E-2</v>
      </c>
      <c r="C41" s="30">
        <f>'Inc Statement'!C87/'Bal. Sheet'!C31</f>
        <v>-7.7769722533447576E-3</v>
      </c>
      <c r="D41" s="30">
        <f>'Inc Statement'!D87/'Bal. Sheet'!D31</f>
        <v>-6.5311004784689E-2</v>
      </c>
      <c r="E41" s="30">
        <f>'Inc Statement'!E87/'Bal. Sheet'!E31</f>
        <v>0.20236406619385341</v>
      </c>
      <c r="F41" s="30">
        <f>'Inc Statement'!F87/'Bal. Sheet'!F31</f>
        <v>-1.1101474414570685E-2</v>
      </c>
      <c r="G41" s="30">
        <f>'Inc Statement'!G87/'Bal. Sheet'!G30</f>
        <v>1.4240720396997624E-2</v>
      </c>
      <c r="J41" s="32">
        <f>AVERAGE(B41:G41)</f>
        <v>3.4374076979333E-2</v>
      </c>
      <c r="K41" s="30">
        <f>STDEV(B41:G41)</f>
        <v>9.3770508932500066E-2</v>
      </c>
    </row>
    <row r="43" spans="1:19" x14ac:dyDescent="0.15">
      <c r="A43" s="38" t="s">
        <v>289</v>
      </c>
      <c r="B43" s="30">
        <f>(B90-C90)/(C78-D78)</f>
        <v>-1.0165582495564756</v>
      </c>
      <c r="C43" s="30">
        <f>(C90-D90)/(D78-E78)</f>
        <v>-3.5303030303030303</v>
      </c>
      <c r="D43" s="30">
        <f>(D90-E90)/(E78-F78)</f>
        <v>18.588377723970943</v>
      </c>
      <c r="E43" s="30">
        <f>(E90-F90)/(F78-G78)</f>
        <v>1.2150433944069432</v>
      </c>
      <c r="F43" s="13"/>
      <c r="J43" s="30">
        <f>AVERAGE(B43:E43)</f>
        <v>3.8141399596295953</v>
      </c>
      <c r="K43" s="30">
        <f>STDEV(B43:E43)</f>
        <v>10.038424386546696</v>
      </c>
      <c r="L43" s="31"/>
      <c r="M43" s="31"/>
      <c r="N43" s="96"/>
      <c r="O43" s="31"/>
      <c r="P43" s="31"/>
      <c r="Q43" s="37"/>
      <c r="R43" s="37"/>
      <c r="S43" s="37"/>
    </row>
    <row r="44" spans="1:19" x14ac:dyDescent="0.15">
      <c r="A44" s="38" t="s">
        <v>288</v>
      </c>
      <c r="B44" s="13">
        <f>(B90-C90)/('Bal. Sheet'!C31-'Bal. Sheet'!D31)</f>
        <v>-1.1111829347123465</v>
      </c>
      <c r="C44" s="13">
        <f>(C90-D90)/('Bal. Sheet'!D31-'Bal. Sheet'!E31)</f>
        <v>-4.66</v>
      </c>
      <c r="D44" s="13">
        <f>(D90-E90)/('Bal. Sheet'!E31-'Bal. Sheet'!F31)</f>
        <v>20.472000000000001</v>
      </c>
      <c r="E44" s="13">
        <f>(E90-F90)/('Bal. Sheet'!F31-'Bal. Sheet'!G31)</f>
        <v>0.26227233304423242</v>
      </c>
      <c r="J44" s="30">
        <f>AVERAGE(B44:E44)</f>
        <v>3.7407723495829717</v>
      </c>
      <c r="K44" s="30">
        <f>STDEV(B44:E44)</f>
        <v>11.345313088164916</v>
      </c>
      <c r="N44" s="34"/>
      <c r="O44" s="37"/>
      <c r="P44" s="37"/>
      <c r="Q44" s="37"/>
      <c r="R44" s="37"/>
      <c r="S44" s="37"/>
    </row>
    <row r="45" spans="1:19" x14ac:dyDescent="0.15">
      <c r="A45" s="51" t="s">
        <v>290</v>
      </c>
      <c r="B45" s="30">
        <f>B90/C92</f>
        <v>-1.2969924812030076E-2</v>
      </c>
      <c r="C45" s="30">
        <f>C90/D92</f>
        <v>-7.0638967794927954E-2</v>
      </c>
      <c r="D45" s="30">
        <f>D90/E92</f>
        <v>-9.4903227850106117E-2</v>
      </c>
      <c r="E45" s="30">
        <f>E90/F92</f>
        <v>0.18616767419662741</v>
      </c>
      <c r="F45" s="30">
        <f>F90/G92</f>
        <v>1.7053346395804643E-2</v>
      </c>
      <c r="G45" s="91" t="s">
        <v>271</v>
      </c>
      <c r="J45" s="30">
        <f>AVERAGE(B45:E45)</f>
        <v>1.9138884348908133E-3</v>
      </c>
      <c r="K45" s="30">
        <f>STDEV(B45:E45)</f>
        <v>0.12755189325283586</v>
      </c>
    </row>
    <row r="47" spans="1:19" x14ac:dyDescent="0.15">
      <c r="A47" s="35" t="s">
        <v>173</v>
      </c>
      <c r="B47" s="35"/>
    </row>
    <row r="48" spans="1:19" x14ac:dyDescent="0.15">
      <c r="A48" s="51" t="s">
        <v>174</v>
      </c>
      <c r="B48" s="30">
        <f>('Bal. Sheet'!B74+'Bal. Sheet'!B81+'Bal. Sheet'!B58)/'Bal. Sheet'!B54</f>
        <v>0.40143507259637379</v>
      </c>
      <c r="C48" s="30">
        <f>('Bal. Sheet'!C74+'Bal. Sheet'!C81+'Bal. Sheet'!C58)/'Bal. Sheet'!C54</f>
        <v>0.4003923936009659</v>
      </c>
      <c r="D48" s="30">
        <f>('Bal. Sheet'!D74+'Bal. Sheet'!D81+'Bal. Sheet'!D58)/'Bal. Sheet'!D54</f>
        <v>0.42337285495130161</v>
      </c>
      <c r="E48" s="30">
        <f>('Bal. Sheet'!E74+'Bal. Sheet'!E81+'Bal. Sheet'!E58)/'Bal. Sheet'!E54</f>
        <v>0.34084927962888623</v>
      </c>
      <c r="F48" s="30">
        <f>('Bal. Sheet'!F74+'Bal. Sheet'!F81+'Bal. Sheet'!F58)/'Bal. Sheet'!F54</f>
        <v>0.39231697637247331</v>
      </c>
      <c r="G48" s="30">
        <f>(SUM('Bal. Sheet'!G77:G79)+'Bal. Sheet'!G58)/'Bal. Sheet'!G54</f>
        <v>0.38940653216126125</v>
      </c>
      <c r="J48" s="32">
        <f>AVERAGE(B48:G48)</f>
        <v>0.39129551821854375</v>
      </c>
      <c r="K48" s="30">
        <f>STDEV(B48:G48)</f>
        <v>2.7437032891697733E-2</v>
      </c>
    </row>
    <row r="49" spans="1:23" x14ac:dyDescent="0.15">
      <c r="A49" s="51" t="s">
        <v>671</v>
      </c>
      <c r="B49" s="53">
        <f>B82/'Inc Statement'!B32</f>
        <v>9.4022038567493116</v>
      </c>
      <c r="C49" s="53">
        <f>C82/'Inc Statement'!C32</f>
        <v>9.8316779926816515</v>
      </c>
      <c r="D49" s="53">
        <f>D82/'Inc Statement'!D32</f>
        <v>7.3479135243841123</v>
      </c>
      <c r="E49" s="53">
        <f>E82/'Inc Statement'!E32</f>
        <v>12.831698502839442</v>
      </c>
      <c r="F49" s="53">
        <f>F82/'Inc Statement'!F32</f>
        <v>12.488715277777779</v>
      </c>
      <c r="G49" s="53">
        <f>G82/'Inc Statement'!G32</f>
        <v>19.924725304761385</v>
      </c>
      <c r="I49" s="30">
        <f>(GEOMEAN(S49:W49))-1</f>
        <v>-0.13946712944686979</v>
      </c>
      <c r="J49" s="54">
        <f>AVERAGE(B49:G49)</f>
        <v>11.971155743198947</v>
      </c>
      <c r="K49" s="53">
        <f>STDEV(B49:G49)</f>
        <v>4.4004299321157081</v>
      </c>
      <c r="M49" s="13">
        <f>(B49-C49)/C49</f>
        <v>-4.3682689389545212E-2</v>
      </c>
      <c r="N49" s="13">
        <f>(C49-D49)/D49</f>
        <v>0.33802309459074964</v>
      </c>
      <c r="O49" s="13">
        <f>(D49-E49)/E49</f>
        <v>-0.42736236182932907</v>
      </c>
      <c r="P49" s="13">
        <f>(E49-F49)/F49</f>
        <v>2.7463451398556799E-2</v>
      </c>
      <c r="Q49" s="13">
        <f>(F49-G49)/G49</f>
        <v>-0.37320514653251619</v>
      </c>
      <c r="S49" s="10">
        <f>(1+M49)</f>
        <v>0.95631731061045477</v>
      </c>
      <c r="T49" s="10">
        <f>(1+N49)</f>
        <v>1.3380230945907496</v>
      </c>
      <c r="U49" s="10">
        <f>(1+O49)</f>
        <v>0.57263763817067093</v>
      </c>
      <c r="V49" s="10">
        <f>(1+P49)</f>
        <v>1.0274634513985568</v>
      </c>
      <c r="W49" s="10">
        <f>(1+Q49)</f>
        <v>0.62679485346748387</v>
      </c>
    </row>
    <row r="50" spans="1:23" x14ac:dyDescent="0.15">
      <c r="A50" s="51" t="s">
        <v>235</v>
      </c>
      <c r="B50" s="30">
        <f>'Inc Statement'!B32/('Bal. Sheet'!B74+'Bal. Sheet'!B81+'Bal. Sheet'!B58)</f>
        <v>5.4432581573896355E-2</v>
      </c>
      <c r="C50" s="30">
        <f>'Inc Statement'!C32/('Bal. Sheet'!C74+'Bal. Sheet'!C81+'Bal. Sheet'!C58)</f>
        <v>6.0089207186832513E-2</v>
      </c>
      <c r="D50" s="30">
        <f>'Inc Statement'!D32/('Bal. Sheet'!D74+'Bal. Sheet'!D81+'Bal. Sheet'!D58)</f>
        <v>5.5869217156821437E-2</v>
      </c>
      <c r="E50" s="30">
        <f>'Inc Statement'!E32/('Bal. Sheet'!E74+'Bal. Sheet'!E81+'Bal. Sheet'!E58)</f>
        <v>6.3371065890204803E-2</v>
      </c>
      <c r="F50" s="30">
        <f>'Inc Statement'!F32/('Bal. Sheet'!F74+'Bal. Sheet'!F81+'Bal. Sheet'!F58)</f>
        <v>3.1928161636318286E-2</v>
      </c>
      <c r="G50" s="30">
        <f>'Inc Statement'!G32/('Bal. Sheet'!G58+'Bal. Sheet'!G60+'Bal. Sheet'!G77+'Bal. Sheet'!G78+'Bal. Sheet'!G79)</f>
        <v>3.4269175289276324E-2</v>
      </c>
      <c r="J50" s="32">
        <f>AVERAGE(B50:G50)</f>
        <v>4.9993234788891616E-2</v>
      </c>
      <c r="K50" s="30">
        <f>STDEV(B50:G50)</f>
        <v>1.3481267799849333E-2</v>
      </c>
    </row>
    <row r="52" spans="1:23" x14ac:dyDescent="0.15">
      <c r="A52" s="51" t="s">
        <v>164</v>
      </c>
      <c r="B52" s="54">
        <f>M83/'Inc Statement'!L16</f>
        <v>-93.754847019168849</v>
      </c>
      <c r="C52" s="54">
        <f>N83/'Inc Statement'!M16</f>
        <v>15.669643403533618</v>
      </c>
      <c r="D52" s="54">
        <f>O83/'Inc Statement'!N16</f>
        <v>12.139933531526951</v>
      </c>
      <c r="E52" s="54">
        <f>P83/'Inc Statement'!O16</f>
        <v>65.000988213310322</v>
      </c>
      <c r="F52" s="54">
        <f>Q83/'Inc Statement'!P16</f>
        <v>-5.255156542893074</v>
      </c>
      <c r="G52" s="93" t="s">
        <v>271</v>
      </c>
      <c r="J52" s="54">
        <f>AVERAGE(B52:F52)</f>
        <v>-1.2398876827382079</v>
      </c>
      <c r="K52" s="54">
        <f>STDEV(B52:F52)</f>
        <v>57.93950634454815</v>
      </c>
    </row>
    <row r="53" spans="1:23" x14ac:dyDescent="0.15">
      <c r="A53" s="51" t="s">
        <v>165</v>
      </c>
      <c r="B53" s="54">
        <f>M90/M83</f>
        <v>5.5870473445535918E-2</v>
      </c>
      <c r="C53" s="54">
        <f>N90/N83</f>
        <v>0.34876892667293558</v>
      </c>
      <c r="D53" s="54">
        <f>O90/O83</f>
        <v>1.2434625852129362</v>
      </c>
      <c r="E53" s="54">
        <f>P90/P83</f>
        <v>1.6610314311870615</v>
      </c>
      <c r="F53" s="54">
        <f>Q90/Q83</f>
        <v>0.34540381544745852</v>
      </c>
      <c r="G53" s="94" t="s">
        <v>271</v>
      </c>
      <c r="J53" s="54">
        <f>AVERAGE(B53:F53)</f>
        <v>0.7309074463931855</v>
      </c>
      <c r="K53" s="54">
        <f>STDEV(B53:F53)</f>
        <v>0.68523010915896376</v>
      </c>
    </row>
    <row r="54" spans="1:23" x14ac:dyDescent="0.15">
      <c r="J54" s="10"/>
    </row>
    <row r="55" spans="1:23" x14ac:dyDescent="0.15">
      <c r="A55" s="35" t="s">
        <v>177</v>
      </c>
      <c r="B55" s="35"/>
    </row>
    <row r="56" spans="1:23" x14ac:dyDescent="0.15">
      <c r="A56" s="51" t="s">
        <v>240</v>
      </c>
      <c r="B56" s="54">
        <f>'Bal. Sheet'!B21/('Inc Statement'!B16/360)</f>
        <v>42.222833562585969</v>
      </c>
      <c r="C56" s="54">
        <f>'Bal. Sheet'!C21/('Inc Statement'!C16/360)</f>
        <v>48.308483290488432</v>
      </c>
      <c r="D56" s="54">
        <f>'Bal. Sheet'!D21/('Inc Statement'!D16/360)</f>
        <v>63.304442331204996</v>
      </c>
      <c r="E56" s="54">
        <f>'Bal. Sheet'!E21/('Inc Statement'!E16/360)</f>
        <v>82.4780218449541</v>
      </c>
      <c r="F56" s="54">
        <f>'Bal. Sheet'!F21/('Inc Statement'!F16/360)</f>
        <v>102.11338435108544</v>
      </c>
      <c r="G56" s="54">
        <f>'Bal. Sheet'!G21/('Inc Statement'!G16/360)</f>
        <v>160.9188815460725</v>
      </c>
      <c r="J56" s="54">
        <f>AVERAGE(B56:G56)</f>
        <v>83.224341154398573</v>
      </c>
      <c r="K56" s="54">
        <f>STDEV(B56:G56)</f>
        <v>44.024624192312906</v>
      </c>
    </row>
    <row r="57" spans="1:23" x14ac:dyDescent="0.15">
      <c r="A57" s="51" t="s">
        <v>278</v>
      </c>
      <c r="B57" s="54">
        <f>('Bal. Sheet'!B22+'Bal. Sheet'!B24)/('Inc Statement'!B18/365)</f>
        <v>3.0242192479286167</v>
      </c>
      <c r="C57" s="54">
        <f>('Bal. Sheet'!C22+'Bal. Sheet'!C24)/('Inc Statement'!C18/365)</f>
        <v>53.107901711513414</v>
      </c>
      <c r="D57" s="54">
        <f>('Bal. Sheet'!D22+'Bal. Sheet'!D24)/('Inc Statement'!D18/365)</f>
        <v>56.796173947342474</v>
      </c>
      <c r="E57" s="54">
        <f>('Bal. Sheet'!E22+'Bal. Sheet'!E24)/('Inc Statement'!E18/365)</f>
        <v>43.222852441981296</v>
      </c>
      <c r="F57" s="54">
        <f>('Bal. Sheet'!F22+'Bal. Sheet'!F24)/('Inc Statement'!F18/365)</f>
        <v>50.173600168084882</v>
      </c>
      <c r="G57" s="54">
        <f>('Bal. Sheet'!G22+'Bal. Sheet'!G24)/('Inc Statement'!G18/365)</f>
        <v>0</v>
      </c>
      <c r="J57" s="54">
        <f>AVERAGE(B57:G57)</f>
        <v>34.387457919475118</v>
      </c>
      <c r="K57" s="54">
        <f>STDEV(B57:G57)</f>
        <v>25.868985505358346</v>
      </c>
    </row>
    <row r="58" spans="1:23" x14ac:dyDescent="0.15">
      <c r="A58" s="51" t="s">
        <v>279</v>
      </c>
      <c r="B58" s="54">
        <f>('Bal. Sheet'!B56)/('Inc Statement'!B18/365)</f>
        <v>115.34329914827046</v>
      </c>
      <c r="C58" s="54">
        <f>('Bal. Sheet'!C56)/('Inc Statement'!C18/365)</f>
        <v>86.39256996541036</v>
      </c>
      <c r="D58" s="54">
        <f>('Bal. Sheet'!D56)/('Inc Statement'!D18/365)</f>
        <v>95.596095059658822</v>
      </c>
      <c r="E58" s="54">
        <f>('Bal. Sheet'!E56)/('Inc Statement'!E18/365)</f>
        <v>70.752727745064078</v>
      </c>
      <c r="F58" s="54">
        <f>('Bal. Sheet'!F56)/('Inc Statement'!F18/365)</f>
        <v>109.85660258430508</v>
      </c>
      <c r="G58" s="54">
        <f>('Bal. Sheet'!G56)/('Inc Statement'!G18/365)</f>
        <v>97.403719519777525</v>
      </c>
      <c r="J58" s="54">
        <f>AVERAGE(B58:G58)</f>
        <v>95.89083567041439</v>
      </c>
      <c r="K58" s="54">
        <f>STDEV(B58:G58)</f>
        <v>16.111847764233353</v>
      </c>
    </row>
    <row r="59" spans="1:23" x14ac:dyDescent="0.15">
      <c r="A59" s="51" t="s">
        <v>280</v>
      </c>
      <c r="B59" s="54">
        <f t="shared" ref="B59:G59" si="0">B26+B57-B58</f>
        <v>-63.998279044465335</v>
      </c>
      <c r="C59" s="54">
        <f t="shared" si="0"/>
        <v>20.724072106000222</v>
      </c>
      <c r="D59" s="54">
        <f t="shared" si="0"/>
        <v>42.847816966748994</v>
      </c>
      <c r="E59" s="54">
        <f t="shared" si="0"/>
        <v>84.840374872500263</v>
      </c>
      <c r="F59" s="54">
        <f t="shared" si="0"/>
        <v>79.544859523495546</v>
      </c>
      <c r="G59" s="54">
        <f t="shared" si="0"/>
        <v>65.75014649221265</v>
      </c>
      <c r="J59" s="54">
        <f>AVERAGE(B59:G59)</f>
        <v>38.284831819415388</v>
      </c>
      <c r="K59" s="54">
        <f>STDEV(B59:G59)</f>
        <v>55.525107597094994</v>
      </c>
    </row>
    <row r="60" spans="1:23" x14ac:dyDescent="0.15">
      <c r="A60" s="83"/>
      <c r="B60" s="83"/>
      <c r="C60" s="84"/>
      <c r="D60" s="84"/>
      <c r="E60" s="84"/>
      <c r="F60" s="84"/>
      <c r="G60" s="84"/>
      <c r="H60" s="85"/>
      <c r="I60" s="85"/>
      <c r="J60" s="84"/>
      <c r="K60" s="84"/>
    </row>
    <row r="61" spans="1:23" x14ac:dyDescent="0.15">
      <c r="A61" s="51" t="s">
        <v>241</v>
      </c>
      <c r="B61" s="54">
        <f>'Inc Statement'!B16/AVERAGE('Bal. Sheet'!B31:C31)</f>
        <v>1.7494652406417113</v>
      </c>
      <c r="C61" s="54">
        <f>'Inc Statement'!C16/AVERAGE('Bal. Sheet'!C31:D31)</f>
        <v>2.4394067663750665</v>
      </c>
      <c r="D61" s="54">
        <f>'Inc Statement'!D16/AVERAGE('Bal. Sheet'!D31:E31)</f>
        <v>2.1881688466111773</v>
      </c>
      <c r="E61" s="54">
        <f>'Inc Statement'!E16/AVERAGE('Bal. Sheet'!E31:F31)</f>
        <v>2.4136197574163378</v>
      </c>
      <c r="F61" s="202">
        <f>'Inc Statement'!F16/AVERAGE('Bal. Sheet'!F31,'Bal. Sheet'!G30)</f>
        <v>1.9960745633450505</v>
      </c>
      <c r="G61" s="54">
        <f>'Inc Statement'!G16/'Bal. Sheet'!G30</f>
        <v>1.5879221752612467</v>
      </c>
      <c r="J61" s="54">
        <f>AVERAGE(B61:G61)</f>
        <v>2.0624428916084319</v>
      </c>
      <c r="K61" s="54">
        <f>STDEV(B61:G61)</f>
        <v>0.34893083697571248</v>
      </c>
    </row>
    <row r="62" spans="1:23" x14ac:dyDescent="0.15">
      <c r="A62" s="51" t="s">
        <v>666</v>
      </c>
      <c r="B62" s="54">
        <f>'Inc Statement'!B16/('Bal. Sheet'!B22+'Bal. Sheet'!B31)</f>
        <v>1.4718585504116615</v>
      </c>
      <c r="C62" s="54">
        <f>'Inc Statement'!C16/('Bal. Sheet'!C22+'Bal. Sheet'!C31)</f>
        <v>2.1282416019258124</v>
      </c>
      <c r="D62" s="54">
        <f>'Inc Statement'!D16/('Bal. Sheet'!D22+'Bal. Sheet'!D31)</f>
        <v>1.8704578950043198</v>
      </c>
      <c r="E62" s="54">
        <f>'Inc Statement'!E16/('Bal. Sheet'!E22+'Bal. Sheet'!E31)</f>
        <v>2.1227123174994857</v>
      </c>
      <c r="F62" s="54">
        <f>'Inc Statement'!F16/('Bal. Sheet'!F22+'Bal. Sheet'!F31)</f>
        <v>1.6078244274809161</v>
      </c>
      <c r="G62" s="93" t="s">
        <v>271</v>
      </c>
      <c r="J62" s="54">
        <f>AVERAGE(B62:G62)</f>
        <v>1.8402189584644391</v>
      </c>
      <c r="K62" s="54">
        <f>STDEV(B62:G62)</f>
        <v>0.29722489068898139</v>
      </c>
    </row>
    <row r="63" spans="1:23" x14ac:dyDescent="0.15">
      <c r="A63" s="51" t="s">
        <v>651</v>
      </c>
      <c r="B63" s="286" t="s">
        <v>271</v>
      </c>
      <c r="C63" s="54">
        <f>'Segment Revenues'!C45/'Bal. Sheet'!C22</f>
        <v>4.7857648953301126</v>
      </c>
      <c r="D63" s="54">
        <f>'Segment Revenues'!D45/'Bal. Sheet'!D22</f>
        <v>4.9413544132566791</v>
      </c>
      <c r="E63" s="54">
        <f>'Segment Revenues'!E45/'Bal. Sheet'!E22</f>
        <v>6.0501425750394953</v>
      </c>
      <c r="F63" s="54">
        <f>'Segment Revenues'!F45/'Bal. Sheet'!F22</f>
        <v>1.7493867023309131</v>
      </c>
      <c r="G63" s="93" t="s">
        <v>271</v>
      </c>
      <c r="J63" s="54">
        <f>AVERAGE(C63:G63)</f>
        <v>4.3816621464893002</v>
      </c>
      <c r="K63" s="54">
        <f>STDEV(C63:G63)</f>
        <v>1.8429374577445812</v>
      </c>
    </row>
    <row r="64" spans="1:23" x14ac:dyDescent="0.15">
      <c r="A64" s="51" t="s">
        <v>293</v>
      </c>
      <c r="B64" s="54">
        <f>'Inc Statement'!B16/(AVERAGE('Bal. Sheet'!B31:C31)+AVERAGE('Bal. Sheet'!B22:C22)+AVERAGE('Bal. Sheet'!B43:C43)+AVERAGE('Bal. Sheet'!B44:C44))</f>
        <v>0.50551641016132021</v>
      </c>
      <c r="C64" s="54">
        <f>'Inc Statement'!C16/(AVERAGE('Bal. Sheet'!C31:D31)+AVERAGE('Bal. Sheet'!C22:D22)+AVERAGE('Bal. Sheet'!C43:D43)+AVERAGE('Bal. Sheet'!C44:D44))</f>
        <v>0.59599960164551047</v>
      </c>
      <c r="D64" s="54">
        <f>'Inc Statement'!D16/(AVERAGE('Bal. Sheet'!D31:E31)+AVERAGE('Bal. Sheet'!D22:E22)+AVERAGE('Bal. Sheet'!D43:E43)+AVERAGE('Bal. Sheet'!D44:E44))</f>
        <v>0.55360433196705905</v>
      </c>
      <c r="E64" s="54">
        <f>'Inc Statement'!E16/(AVERAGE('Bal. Sheet'!E31:F31)+AVERAGE('Bal. Sheet'!E22:F22)+AVERAGE('Bal. Sheet'!E43:F43)+AVERAGE('Bal. Sheet'!E44:F44))</f>
        <v>0.61803159682983966</v>
      </c>
      <c r="F64" s="54">
        <f>'Inc Statement'!F16/(AVERAGE('Bal. Sheet'!F31:G31)+AVERAGE('Bal. Sheet'!F22:G22)+AVERAGE('Bal. Sheet'!F43:G43)+AVERAGE('Bal. Sheet'!F44:G44))</f>
        <v>0.88035769773331607</v>
      </c>
      <c r="G64" s="94" t="s">
        <v>271</v>
      </c>
      <c r="J64" s="54">
        <f>AVERAGE(B64:G64)</f>
        <v>0.63070192766740907</v>
      </c>
      <c r="K64" s="54">
        <f>STDEV(B64:G64)</f>
        <v>0.14603787633530782</v>
      </c>
    </row>
    <row r="66" spans="1:23" x14ac:dyDescent="0.15">
      <c r="A66" s="89" t="s">
        <v>939</v>
      </c>
      <c r="B66" s="89"/>
    </row>
    <row r="67" spans="1:23" x14ac:dyDescent="0.15">
      <c r="A67" s="52" t="s">
        <v>937</v>
      </c>
      <c r="B67" s="54">
        <f>(AVERAGE('Bal. Sheet'!B22:C22)+AVERAGE('Bal. Sheet'!B31:C31))/('Inc Statement'!B18/365)</f>
        <v>428.30769453618399</v>
      </c>
      <c r="C67" s="54">
        <f>(AVERAGE('Bal. Sheet'!C22:D22)+AVERAGE('Bal. Sheet'!C31:D31))/('Inc Statement'!C18/365)</f>
        <v>311.16245900902925</v>
      </c>
      <c r="D67" s="54">
        <f>(AVERAGE('Bal. Sheet'!D22:E22)+AVERAGE('Bal. Sheet'!D31:E31))/('Inc Statement'!D18/365)</f>
        <v>352.08768859086877</v>
      </c>
      <c r="E67" s="54">
        <f>(AVERAGE('Bal. Sheet'!E22:F22)+AVERAGE('Bal. Sheet'!E31:F31))/('Inc Statement'!E18/365)</f>
        <v>311.04650155871144</v>
      </c>
      <c r="F67" s="54">
        <f>('Bal. Sheet'!F31+'Bal. Sheet'!F22)/('Inc Statement'!F18/365)</f>
        <v>381.7564870259481</v>
      </c>
      <c r="G67" s="54">
        <f>'Bal. Sheet'!G30/('Inc Statement'!G18/365)</f>
        <v>381.23455499157802</v>
      </c>
      <c r="J67" s="54">
        <f>AVERAGE(B67:G67)</f>
        <v>360.9325642853866</v>
      </c>
      <c r="K67" s="54">
        <f>STDEV(B67:G67)</f>
        <v>45.670842385250523</v>
      </c>
    </row>
    <row r="68" spans="1:23" x14ac:dyDescent="0.15">
      <c r="A68" s="51" t="s">
        <v>938</v>
      </c>
      <c r="B68" s="54">
        <f>('Bal. Sheet'!B58+'Bal. Sheet'!B81+'Bal. Sheet'!B56)/('Inc Statement'!B18/365)</f>
        <v>264.12219711454895</v>
      </c>
      <c r="C68" s="54">
        <f>('Bal. Sheet'!C58+'Bal. Sheet'!C81+'Bal. Sheet'!C56)/('Inc Statement'!C18/365)</f>
        <v>160.27469565608016</v>
      </c>
      <c r="D68" s="54">
        <f>('Bal. Sheet'!D58+'Bal. Sheet'!D81+'Bal. Sheet'!D56)/('Inc Statement'!D18/365)</f>
        <v>213.59752489892517</v>
      </c>
      <c r="E68" s="54">
        <f>('Bal. Sheet'!E58+'Bal. Sheet'!E81+'Bal. Sheet'!E56)/('Inc Statement'!E18/365)</f>
        <v>149.64431070315206</v>
      </c>
      <c r="F68" s="54">
        <f>('Bal. Sheet'!F58+'Bal. Sheet'!F81+'Bal. Sheet'!F56)/('Inc Statement'!F18/365)</f>
        <v>202.49658577581678</v>
      </c>
      <c r="G68" s="54">
        <f>('Bal. Sheet'!G58+'Bal. Sheet'!G81+'Bal. Sheet'!G56)/('Inc Statement'!G18/365)</f>
        <v>281.88636119558214</v>
      </c>
      <c r="J68" s="54">
        <f>AVERAGE(B68:G68)</f>
        <v>212.00361255735092</v>
      </c>
      <c r="K68" s="54">
        <f>STDEV(B68:G68)</f>
        <v>53.399312541977544</v>
      </c>
    </row>
    <row r="69" spans="1:23" x14ac:dyDescent="0.15">
      <c r="A69" s="257" t="s">
        <v>940</v>
      </c>
      <c r="B69" s="54">
        <f t="shared" ref="B69:G69" si="1">B26+B67-B68</f>
        <v>212.50629827751152</v>
      </c>
      <c r="C69" s="54">
        <f t="shared" si="1"/>
        <v>204.89650371284625</v>
      </c>
      <c r="D69" s="54">
        <f t="shared" si="1"/>
        <v>220.13790177100893</v>
      </c>
      <c r="E69" s="54">
        <f t="shared" si="1"/>
        <v>273.77244103114242</v>
      </c>
      <c r="F69" s="54">
        <f t="shared" si="1"/>
        <v>318.4877631898471</v>
      </c>
      <c r="G69" s="54">
        <f t="shared" si="1"/>
        <v>262.50205980798603</v>
      </c>
      <c r="J69" s="54">
        <f>AVERAGE(B69:G69)</f>
        <v>248.71716129839038</v>
      </c>
      <c r="K69" s="54">
        <f>STDEV(B69:G69)</f>
        <v>44.122506875249549</v>
      </c>
    </row>
    <row r="72" spans="1:23" x14ac:dyDescent="0.15">
      <c r="I72" s="34"/>
      <c r="J72" s="34"/>
    </row>
    <row r="73" spans="1:23" ht="14" x14ac:dyDescent="0.15">
      <c r="B73" s="35">
        <v>2020</v>
      </c>
      <c r="C73" s="35">
        <f>C3</f>
        <v>2019</v>
      </c>
      <c r="D73" s="35">
        <f>D3</f>
        <v>2018</v>
      </c>
      <c r="E73" s="35">
        <f>E3</f>
        <v>2017</v>
      </c>
      <c r="F73" s="35">
        <f>F3</f>
        <v>2016</v>
      </c>
      <c r="G73" s="35">
        <f>G3</f>
        <v>2015</v>
      </c>
      <c r="I73" s="35" t="s">
        <v>312</v>
      </c>
      <c r="J73" s="35" t="s">
        <v>276</v>
      </c>
      <c r="K73" s="99" t="str">
        <f>K3</f>
        <v>σ</v>
      </c>
      <c r="M73" s="35" t="s">
        <v>1011</v>
      </c>
      <c r="N73" s="35" t="s">
        <v>275</v>
      </c>
      <c r="O73" s="35" t="s">
        <v>274</v>
      </c>
      <c r="P73" s="35" t="s">
        <v>273</v>
      </c>
      <c r="Q73" s="35" t="s">
        <v>272</v>
      </c>
      <c r="T73" s="35" t="s">
        <v>313</v>
      </c>
    </row>
    <row r="74" spans="1:23" x14ac:dyDescent="0.15">
      <c r="A74" s="35" t="s">
        <v>245</v>
      </c>
      <c r="B74" s="35"/>
    </row>
    <row r="75" spans="1:23" x14ac:dyDescent="0.15">
      <c r="A75" s="51" t="s">
        <v>246</v>
      </c>
      <c r="B75" s="104">
        <f>'Bal. Sheet'!B28-'Bal. Sheet'!B26</f>
        <v>1118300</v>
      </c>
      <c r="C75" s="104">
        <f>'Bal. Sheet'!C28-'Bal. Sheet'!C26</f>
        <v>1229800</v>
      </c>
      <c r="D75" s="104">
        <f>'Bal. Sheet'!D28-'Bal. Sheet'!D26</f>
        <v>1297700</v>
      </c>
      <c r="E75" s="104">
        <f>'Bal. Sheet'!E28-'Bal. Sheet'!E26</f>
        <v>1631700</v>
      </c>
      <c r="F75" s="104">
        <f>'Bal. Sheet'!F28-'Bal. Sheet'!F17</f>
        <v>1687600</v>
      </c>
      <c r="G75" s="104">
        <f>'Bal. Sheet'!G28-'Bal. Sheet'!G17</f>
        <v>1107031</v>
      </c>
      <c r="I75" s="30">
        <f>(GEOMEAN(S75:W75))-1</f>
        <v>2.0276565417611803E-3</v>
      </c>
      <c r="J75" s="32">
        <f>AVERAGE(M75:Q75)</f>
        <v>2.8726188967174115E-2</v>
      </c>
      <c r="K75" s="30">
        <f>STDEV(M75:Q75)</f>
        <v>0.28498423714185139</v>
      </c>
      <c r="M75" s="13">
        <f t="shared" ref="M75:Q76" si="2">(B75-C75)/C75</f>
        <v>-9.0665148804683682E-2</v>
      </c>
      <c r="N75" s="13">
        <f t="shared" si="2"/>
        <v>-5.2323341296139324E-2</v>
      </c>
      <c r="O75" s="13">
        <f t="shared" si="2"/>
        <v>-0.20469449040877613</v>
      </c>
      <c r="P75" s="13">
        <f t="shared" si="2"/>
        <v>-3.3123963024413366E-2</v>
      </c>
      <c r="Q75" s="13">
        <f t="shared" si="2"/>
        <v>0.52443788836988303</v>
      </c>
      <c r="S75" s="10">
        <f>1+(M75)</f>
        <v>0.90933485119531632</v>
      </c>
      <c r="T75" s="10">
        <f>1+(N75)</f>
        <v>0.94767665870386064</v>
      </c>
      <c r="U75" s="10">
        <f t="shared" ref="U75:W84" si="3">1+(O75)</f>
        <v>0.79530550959122381</v>
      </c>
      <c r="V75" s="10">
        <f t="shared" si="3"/>
        <v>0.96687603697558666</v>
      </c>
      <c r="W75" s="10">
        <f t="shared" si="3"/>
        <v>1.524437888369883</v>
      </c>
    </row>
    <row r="76" spans="1:23" x14ac:dyDescent="0.15">
      <c r="A76" s="51" t="s">
        <v>247</v>
      </c>
      <c r="B76" s="104">
        <f>'Bal. Sheet'!B63-'Bal. Sheet'!B59-'Bal. Sheet'!B62</f>
        <v>1439200</v>
      </c>
      <c r="C76" s="104">
        <f>'Bal. Sheet'!C63-'Bal. Sheet'!C59-'Bal. Sheet'!C62</f>
        <v>1322500</v>
      </c>
      <c r="D76" s="104">
        <f>'Bal. Sheet'!D63-'Bal. Sheet'!D59-'Bal. Sheet'!D62</f>
        <v>1452300</v>
      </c>
      <c r="E76" s="104">
        <f>'Bal. Sheet'!E63-'Bal. Sheet'!E61-'Bal. Sheet'!E62-'Bal. Sheet'!E59</f>
        <v>1280100</v>
      </c>
      <c r="F76" s="104">
        <f>'Bal. Sheet'!F63-'Bal. Sheet'!F62-'Bal. Sheet'!F59</f>
        <v>1455100</v>
      </c>
      <c r="G76" s="104">
        <f>'Bal. Sheet'!G63-'Bal. Sheet'!G62-'Bal. Sheet'!G60</f>
        <v>1700416</v>
      </c>
      <c r="I76" s="30">
        <f>(GEOMEAN(S76:W76))-1</f>
        <v>-3.2806891265190874E-2</v>
      </c>
      <c r="J76" s="32">
        <f>AVERAGE(M76:Q76)</f>
        <v>-2.6229528262975567E-2</v>
      </c>
      <c r="K76" s="30">
        <f>STDEV(M76:Q76)</f>
        <v>0.12816775769812763</v>
      </c>
      <c r="M76" s="13">
        <f t="shared" si="2"/>
        <v>8.8241965973534967E-2</v>
      </c>
      <c r="N76" s="13">
        <f t="shared" si="2"/>
        <v>-8.9375473387041243E-2</v>
      </c>
      <c r="O76" s="13">
        <f t="shared" si="2"/>
        <v>0.13452074056714319</v>
      </c>
      <c r="P76" s="13">
        <f t="shared" si="2"/>
        <v>-0.12026664834032025</v>
      </c>
      <c r="Q76" s="13">
        <f t="shared" si="2"/>
        <v>-0.14426822612819451</v>
      </c>
      <c r="S76" s="10">
        <f t="shared" ref="S76:T86" si="4">1+(M76)</f>
        <v>1.088241965973535</v>
      </c>
      <c r="T76" s="10">
        <f t="shared" si="4"/>
        <v>0.91062452661295878</v>
      </c>
      <c r="U76" s="10">
        <f t="shared" si="3"/>
        <v>1.1345207405671431</v>
      </c>
      <c r="V76" s="10">
        <f t="shared" si="3"/>
        <v>0.8797333516596797</v>
      </c>
      <c r="W76" s="10">
        <f t="shared" si="3"/>
        <v>0.85573177387180555</v>
      </c>
    </row>
    <row r="77" spans="1:23" x14ac:dyDescent="0.15">
      <c r="A77" s="51" t="s">
        <v>250</v>
      </c>
      <c r="B77" s="104">
        <f t="shared" ref="B77:G77" si="5">B75-B76</f>
        <v>-320900</v>
      </c>
      <c r="C77" s="104">
        <f t="shared" si="5"/>
        <v>-92700</v>
      </c>
      <c r="D77" s="104">
        <f t="shared" si="5"/>
        <v>-154600</v>
      </c>
      <c r="E77" s="104">
        <f t="shared" si="5"/>
        <v>351600</v>
      </c>
      <c r="F77" s="104">
        <f t="shared" si="5"/>
        <v>232500</v>
      </c>
      <c r="G77" s="104">
        <f t="shared" si="5"/>
        <v>-593385</v>
      </c>
      <c r="I77" s="30"/>
      <c r="J77" s="32">
        <f>AVERAGE(M77:Q77)</f>
        <v>-0.31938853118413463</v>
      </c>
      <c r="K77" s="30">
        <f>STDEV(M77:Q77)</f>
        <v>1.5797605082499169</v>
      </c>
      <c r="M77" s="13">
        <f>(B77-C77)/-C77</f>
        <v>-2.4617044228694716</v>
      </c>
      <c r="N77" s="13">
        <f>(C77-D77)/-D77</f>
        <v>0.40038809831824063</v>
      </c>
      <c r="O77" s="13">
        <f t="shared" ref="O77:P79" si="6">(D77-E77)/E77</f>
        <v>-1.4397042093287826</v>
      </c>
      <c r="P77" s="13">
        <f t="shared" si="6"/>
        <v>0.51225806451612899</v>
      </c>
      <c r="Q77" s="13">
        <f>(F77-G77)/-G77</f>
        <v>1.3918198134432114</v>
      </c>
      <c r="S77" s="10">
        <f t="shared" si="4"/>
        <v>-1.4617044228694716</v>
      </c>
      <c r="T77" s="10">
        <f t="shared" si="4"/>
        <v>1.4003880983182406</v>
      </c>
      <c r="U77" s="10">
        <f t="shared" si="3"/>
        <v>-0.43970420932878262</v>
      </c>
      <c r="V77" s="10">
        <f t="shared" si="3"/>
        <v>1.512258064516129</v>
      </c>
      <c r="W77" s="10">
        <f t="shared" si="3"/>
        <v>2.3918198134432114</v>
      </c>
    </row>
    <row r="78" spans="1:23" x14ac:dyDescent="0.15">
      <c r="A78" s="51" t="s">
        <v>248</v>
      </c>
      <c r="B78" s="104">
        <f>'Bal. Sheet'!B31+'Bal. Sheet'!B41</f>
        <v>2313800</v>
      </c>
      <c r="C78" s="104">
        <f>'Bal. Sheet'!C31+'Bal. Sheet'!C41</f>
        <v>1658200</v>
      </c>
      <c r="D78" s="104">
        <f>'Bal. Sheet'!D31+'Bal. Sheet'!D41</f>
        <v>1827300</v>
      </c>
      <c r="E78" s="104">
        <f>'Bal. Sheet'!E31+'Bal. Sheet'!E41</f>
        <v>1853700</v>
      </c>
      <c r="F78" s="104">
        <f>'Bal. Sheet'!F31+'Bal. Sheet'!F41</f>
        <v>1895000</v>
      </c>
      <c r="G78" s="104">
        <f>'Bal. Sheet'!G41+'Bal. Sheet'!G30</f>
        <v>1521680</v>
      </c>
      <c r="I78" s="30">
        <f>(GEOMEAN(S78:W78))-1</f>
        <v>8.7427963568621925E-2</v>
      </c>
      <c r="J78" s="32">
        <f>AVERAGE(M78:Q78)</f>
        <v>0.10242513739013363</v>
      </c>
      <c r="K78" s="30">
        <f>STDEV(M78:Q78)</f>
        <v>0.20814186414010716</v>
      </c>
      <c r="M78" s="13">
        <f>(B78-C78)/C78</f>
        <v>0.39536847183693163</v>
      </c>
      <c r="N78" s="13">
        <f>(C78-D78)/D78</f>
        <v>-9.2540907349641544E-2</v>
      </c>
      <c r="O78" s="13">
        <f t="shared" si="6"/>
        <v>-1.4241786696876518E-2</v>
      </c>
      <c r="P78" s="13">
        <f t="shared" si="6"/>
        <v>-2.1794195250659631E-2</v>
      </c>
      <c r="Q78" s="13">
        <f>(F78-G78)/G78</f>
        <v>0.24533410441091424</v>
      </c>
      <c r="S78" s="10">
        <f t="shared" si="4"/>
        <v>1.3953684718369317</v>
      </c>
      <c r="T78" s="10">
        <f t="shared" si="4"/>
        <v>0.90745909265035851</v>
      </c>
      <c r="U78" s="10">
        <f t="shared" si="3"/>
        <v>0.98575821330312352</v>
      </c>
      <c r="V78" s="10">
        <f t="shared" si="3"/>
        <v>0.97820580474934038</v>
      </c>
      <c r="W78" s="10">
        <f t="shared" si="3"/>
        <v>1.2453341044109143</v>
      </c>
    </row>
    <row r="79" spans="1:23" x14ac:dyDescent="0.15">
      <c r="A79" s="51" t="s">
        <v>249</v>
      </c>
      <c r="B79" s="104">
        <f t="shared" ref="B79:G79" si="7">B78+B77</f>
        <v>1992900</v>
      </c>
      <c r="C79" s="104">
        <f t="shared" si="7"/>
        <v>1565500</v>
      </c>
      <c r="D79" s="104">
        <f t="shared" si="7"/>
        <v>1672700</v>
      </c>
      <c r="E79" s="104">
        <f t="shared" si="7"/>
        <v>2205300</v>
      </c>
      <c r="F79" s="104">
        <f t="shared" si="7"/>
        <v>2127500</v>
      </c>
      <c r="G79" s="104">
        <f t="shared" si="7"/>
        <v>928295</v>
      </c>
      <c r="I79" s="30">
        <f>(GEOMEAN(S79:W79))-1</f>
        <v>0.16509113873024939</v>
      </c>
      <c r="J79" s="32">
        <f>AVERAGE(M79:Q79)</f>
        <v>0.25916391498636693</v>
      </c>
      <c r="K79" s="30">
        <f>STDEV(M79:Q79)</f>
        <v>0.60648938464976709</v>
      </c>
      <c r="M79" s="13">
        <f>(B79-C79)/C79</f>
        <v>0.27301181731076335</v>
      </c>
      <c r="N79" s="13">
        <f>(C79-D79)/D79</f>
        <v>-6.4088001434806002E-2</v>
      </c>
      <c r="O79" s="13">
        <f t="shared" si="6"/>
        <v>-0.24150909173355098</v>
      </c>
      <c r="P79" s="13">
        <f t="shared" si="6"/>
        <v>3.6568742655699177E-2</v>
      </c>
      <c r="Q79" s="13">
        <f>(F79-G79)/G79</f>
        <v>1.2918361081337291</v>
      </c>
      <c r="S79" s="10">
        <f t="shared" si="4"/>
        <v>1.2730118173107634</v>
      </c>
      <c r="T79" s="10">
        <f t="shared" si="4"/>
        <v>0.93591199856519403</v>
      </c>
      <c r="U79" s="10">
        <f t="shared" si="3"/>
        <v>0.75849090826644905</v>
      </c>
      <c r="V79" s="10">
        <f t="shared" si="3"/>
        <v>1.0365687426556991</v>
      </c>
      <c r="W79" s="10">
        <f t="shared" si="3"/>
        <v>2.2918361081337291</v>
      </c>
    </row>
    <row r="80" spans="1:23" x14ac:dyDescent="0.15">
      <c r="A80" s="51" t="s">
        <v>838</v>
      </c>
      <c r="B80" s="104">
        <f>B79-C79</f>
        <v>427400</v>
      </c>
      <c r="C80" s="104">
        <f>C79-D79</f>
        <v>-107200</v>
      </c>
      <c r="D80" s="104">
        <f>D79-E79</f>
        <v>-532600</v>
      </c>
      <c r="E80" s="104">
        <f>E79-F79</f>
        <v>77800</v>
      </c>
      <c r="F80" s="104">
        <f>F79-G79</f>
        <v>1199205</v>
      </c>
      <c r="G80" s="104"/>
      <c r="I80" s="30"/>
      <c r="J80" s="32"/>
      <c r="K80" s="30"/>
      <c r="N80" s="13"/>
      <c r="O80" s="13"/>
      <c r="P80" s="13"/>
      <c r="Q80" s="13"/>
      <c r="S80" s="10"/>
      <c r="T80" s="10"/>
      <c r="U80" s="10"/>
      <c r="V80" s="10"/>
      <c r="W80" s="10"/>
    </row>
    <row r="81" spans="1:23" x14ac:dyDescent="0.15">
      <c r="A81" s="51" t="s">
        <v>283</v>
      </c>
      <c r="B81" s="104">
        <f>B83+'Inc Statement'!B21</f>
        <v>352600</v>
      </c>
      <c r="C81" s="104">
        <f>C83+'Inc Statement'!C21</f>
        <v>185900</v>
      </c>
      <c r="D81" s="104">
        <f>D83+'Inc Statement'!D21</f>
        <v>54200</v>
      </c>
      <c r="E81" s="104">
        <f>E83+'Inc Statement'!E21</f>
        <v>501400</v>
      </c>
      <c r="F81" s="104">
        <f>F83+'Inc Statement'!F21</f>
        <v>43900</v>
      </c>
      <c r="G81" s="104">
        <f>G83+'Inc Statement'!G21</f>
        <v>34136</v>
      </c>
      <c r="I81" s="30">
        <f>(GEOMEAN(S81:W81))-1</f>
        <v>0.59519557267239476</v>
      </c>
      <c r="J81" s="32">
        <f>AVERAGE(M81:Q81)</f>
        <v>2.6284299868464371</v>
      </c>
      <c r="K81" s="30">
        <f>STDEV(M81:Q81)</f>
        <v>4.5179747844103852</v>
      </c>
      <c r="M81" s="13">
        <f t="shared" ref="M81:Q82" si="8">(B81-C81)/C81</f>
        <v>0.89671866594943517</v>
      </c>
      <c r="N81" s="13">
        <f t="shared" si="8"/>
        <v>2.4298892988929888</v>
      </c>
      <c r="O81" s="13">
        <f t="shared" si="8"/>
        <v>-0.89190267251695254</v>
      </c>
      <c r="P81" s="13">
        <f t="shared" si="8"/>
        <v>10.421412300683372</v>
      </c>
      <c r="Q81" s="13">
        <f t="shared" si="8"/>
        <v>0.28603234122334192</v>
      </c>
      <c r="S81" s="10">
        <f t="shared" si="4"/>
        <v>1.8967186659494351</v>
      </c>
      <c r="T81" s="10">
        <f t="shared" si="4"/>
        <v>3.4298892988929888</v>
      </c>
      <c r="U81" s="10">
        <f t="shared" si="3"/>
        <v>0.10809732748304746</v>
      </c>
      <c r="V81" s="10">
        <f t="shared" si="3"/>
        <v>11.421412300683372</v>
      </c>
      <c r="W81" s="10">
        <f t="shared" si="3"/>
        <v>1.2860323412233419</v>
      </c>
    </row>
    <row r="82" spans="1:23" x14ac:dyDescent="0.15">
      <c r="A82" s="51" t="s">
        <v>672</v>
      </c>
      <c r="B82" s="104">
        <f>B83+(B81+'Cash Flow'!B20)</f>
        <v>1706500</v>
      </c>
      <c r="C82" s="104">
        <f>C83+(C81+'Cash Flow'!C20)</f>
        <v>1880800</v>
      </c>
      <c r="D82" s="104">
        <f>D83+(D81+'Cash Flow'!D20)</f>
        <v>1461500</v>
      </c>
      <c r="E82" s="104">
        <f>E83+(E81+'Cash Flow'!E20)</f>
        <v>2485500</v>
      </c>
      <c r="F82" s="104">
        <f>F83+(F81+'Cash Flow'!F20)</f>
        <v>1438700</v>
      </c>
      <c r="G82" s="104">
        <f>G83+(G81+'Cash Flow'!G20+'Cash Flow'!G22)</f>
        <v>1093449</v>
      </c>
      <c r="I82" s="30">
        <f>(GEOMEAN(S82:W82))-1</f>
        <v>9.3104172799409524E-2</v>
      </c>
      <c r="J82" s="32">
        <f>AVERAGE(M82:Q82)</f>
        <v>0.16511608213370144</v>
      </c>
      <c r="K82" s="30">
        <f>STDEV(M82:Q82)</f>
        <v>0.43399756942561268</v>
      </c>
      <c r="M82" s="13">
        <f t="shared" si="8"/>
        <v>-9.2673330497660564E-2</v>
      </c>
      <c r="N82" s="13">
        <f t="shared" si="8"/>
        <v>0.28689702360588437</v>
      </c>
      <c r="O82" s="13">
        <f t="shared" si="8"/>
        <v>-0.411989539328103</v>
      </c>
      <c r="P82" s="13">
        <f t="shared" si="8"/>
        <v>0.72760130673524714</v>
      </c>
      <c r="Q82" s="13">
        <f t="shared" si="8"/>
        <v>0.3157449501531393</v>
      </c>
      <c r="S82" s="10">
        <f t="shared" si="4"/>
        <v>0.90732666950233942</v>
      </c>
      <c r="T82" s="10">
        <f t="shared" si="4"/>
        <v>1.2868970236058843</v>
      </c>
      <c r="U82" s="10">
        <f t="shared" si="3"/>
        <v>0.588010460671897</v>
      </c>
      <c r="V82" s="10">
        <f t="shared" si="3"/>
        <v>1.7276013067352471</v>
      </c>
      <c r="W82" s="10">
        <f t="shared" si="3"/>
        <v>1.3157449501531393</v>
      </c>
    </row>
    <row r="83" spans="1:23" x14ac:dyDescent="0.15">
      <c r="A83" s="51" t="s">
        <v>238</v>
      </c>
      <c r="B83" s="130">
        <f>'Inc Statement'!B87</f>
        <v>164100</v>
      </c>
      <c r="C83" s="130">
        <f>'Inc Statement'!C87</f>
        <v>-11800</v>
      </c>
      <c r="D83" s="130">
        <f>'Inc Statement'!D87</f>
        <v>-109200</v>
      </c>
      <c r="E83" s="130">
        <f>'Inc Statement'!E87</f>
        <v>342400</v>
      </c>
      <c r="F83" s="130">
        <f>'Inc Statement'!F87</f>
        <v>-19200</v>
      </c>
      <c r="G83" s="130">
        <f>'Inc Statement'!G87</f>
        <v>21052</v>
      </c>
      <c r="I83" s="30"/>
      <c r="J83" s="32">
        <f>AVERAGE(M83:Q83)</f>
        <v>6.2802203583651979</v>
      </c>
      <c r="K83" s="30">
        <f>STDEV(M83:Q83)</f>
        <v>9.8220626322270075</v>
      </c>
      <c r="M83" s="13">
        <f>(B83-C83)/-C83</f>
        <v>14.90677966101695</v>
      </c>
      <c r="N83" s="13">
        <f>(C83-D83)/-D83</f>
        <v>0.89194139194139199</v>
      </c>
      <c r="O83" s="13">
        <f>(D83-E83)/E83</f>
        <v>-1.3189252336448598</v>
      </c>
      <c r="P83" s="13">
        <f>(E83-F83)/-F83</f>
        <v>18.833333333333332</v>
      </c>
      <c r="Q83" s="13">
        <f>(F83-G83)/G83</f>
        <v>-1.9120273608208247</v>
      </c>
      <c r="S83" s="10">
        <f t="shared" si="4"/>
        <v>15.90677966101695</v>
      </c>
      <c r="T83" s="10">
        <f t="shared" si="4"/>
        <v>1.8919413919413919</v>
      </c>
      <c r="U83" s="10">
        <f t="shared" si="3"/>
        <v>-0.31892523364485981</v>
      </c>
      <c r="V83" s="10">
        <f t="shared" si="3"/>
        <v>19.833333333333332</v>
      </c>
      <c r="W83" s="10">
        <f t="shared" si="3"/>
        <v>-0.9120273608208247</v>
      </c>
    </row>
    <row r="84" spans="1:23" x14ac:dyDescent="0.15">
      <c r="A84" s="51" t="s">
        <v>252</v>
      </c>
      <c r="B84" s="104">
        <f t="shared" ref="B84:G84" si="9">B83*(1-0.21)</f>
        <v>129639</v>
      </c>
      <c r="C84" s="104">
        <f t="shared" si="9"/>
        <v>-9322</v>
      </c>
      <c r="D84" s="104">
        <f t="shared" si="9"/>
        <v>-86268</v>
      </c>
      <c r="E84" s="104">
        <f t="shared" si="9"/>
        <v>270496</v>
      </c>
      <c r="F84" s="104">
        <f t="shared" si="9"/>
        <v>-15168</v>
      </c>
      <c r="G84" s="104">
        <f t="shared" si="9"/>
        <v>16631.080000000002</v>
      </c>
      <c r="I84" s="30"/>
      <c r="J84" s="32">
        <f>AVERAGE(M84:Q84)</f>
        <v>-1.2531129749681349</v>
      </c>
      <c r="K84" s="30">
        <f>STDEV(M84:Q84)</f>
        <v>11.992143631493876</v>
      </c>
      <c r="M84" s="13">
        <f>(B84-C84)/-C84</f>
        <v>14.90677966101695</v>
      </c>
      <c r="N84" s="13">
        <f>(C84-D84)/-D84</f>
        <v>0.89194139194139199</v>
      </c>
      <c r="O84" s="13">
        <f>(D84-E84)/E84</f>
        <v>-1.3189252336448598</v>
      </c>
      <c r="P84" s="13">
        <f>(E84-F84)/F84</f>
        <v>-18.833333333333332</v>
      </c>
      <c r="Q84" s="13">
        <f>(F84-G84)/G84</f>
        <v>-1.9120273608208245</v>
      </c>
      <c r="S84" s="10">
        <f t="shared" si="4"/>
        <v>15.90677966101695</v>
      </c>
      <c r="T84" s="10">
        <f t="shared" si="4"/>
        <v>1.8919413919413919</v>
      </c>
      <c r="U84" s="10">
        <f t="shared" si="3"/>
        <v>-0.31892523364485981</v>
      </c>
      <c r="V84" s="10">
        <f t="shared" si="3"/>
        <v>-17.833333333333332</v>
      </c>
      <c r="W84" s="10">
        <f t="shared" si="3"/>
        <v>-0.91202736082082447</v>
      </c>
    </row>
    <row r="85" spans="1:23" x14ac:dyDescent="0.15">
      <c r="A85" s="34"/>
      <c r="B85" s="34"/>
      <c r="C85" s="37"/>
      <c r="D85" s="37"/>
      <c r="E85" s="37"/>
      <c r="F85" s="37"/>
      <c r="G85" s="37"/>
      <c r="J85" s="37"/>
      <c r="S85" s="10"/>
      <c r="T85" s="10"/>
    </row>
    <row r="86" spans="1:23" x14ac:dyDescent="0.15">
      <c r="A86" s="51" t="s">
        <v>841</v>
      </c>
      <c r="B86" s="104">
        <f>'Cash Flow'!B17+'Cash Flow'!B19+'Cash Flow'!B20</f>
        <v>1343800</v>
      </c>
      <c r="C86" s="104">
        <f>'Cash Flow'!C17+'Cash Flow'!C19+'Cash Flow'!C20</f>
        <v>1698000</v>
      </c>
      <c r="D86" s="104">
        <f>'Cash Flow'!D17+'Cash Flow'!D19+'Cash Flow'!D20</f>
        <v>1380300</v>
      </c>
      <c r="E86" s="104">
        <f>'Cash Flow'!E17+'Cash Flow'!E19+'Cash Flow'!E20</f>
        <v>2268800</v>
      </c>
      <c r="F86" s="104">
        <f>'Cash Flow'!F17+'Cash Flow'!F19+'Cash Flow'!F20</f>
        <v>1491600</v>
      </c>
      <c r="G86" s="104">
        <f>'Cash Flow'!G17+'Cash Flow'!G19+'Cash Flow'!G20+'Cash Flow'!G22</f>
        <v>1094045</v>
      </c>
      <c r="I86" s="30">
        <f>(GEOMEAN(S86:W86))-1</f>
        <v>4.198121671030397E-2</v>
      </c>
      <c r="J86" s="32">
        <f>AVERAGE(M86:Q86)</f>
        <v>0.10287687170872957</v>
      </c>
      <c r="K86" s="101">
        <f>STDEV(M86:Q86)</f>
        <v>0.3874518340754437</v>
      </c>
      <c r="M86" s="13">
        <f>(B86-C86)/C86</f>
        <v>-0.20859835100117785</v>
      </c>
      <c r="N86" s="13">
        <f>(C86-D86)/D86</f>
        <v>0.23016735492284285</v>
      </c>
      <c r="O86" s="13">
        <f>(D86-E86)/E86</f>
        <v>-0.39161671368124118</v>
      </c>
      <c r="P86" s="13">
        <f>(E86-F86)/F86</f>
        <v>0.52105122016626437</v>
      </c>
      <c r="Q86" s="13">
        <f>(F86-G86)/G86</f>
        <v>0.36338084813695964</v>
      </c>
      <c r="S86" s="10">
        <f t="shared" si="4"/>
        <v>0.79140164899882215</v>
      </c>
      <c r="T86" s="10">
        <f t="shared" si="4"/>
        <v>1.2301673549228429</v>
      </c>
      <c r="U86" s="10">
        <f>1+(O86)</f>
        <v>0.60838328631875882</v>
      </c>
      <c r="V86" s="10">
        <f>1+(P86)</f>
        <v>1.5210512201662643</v>
      </c>
      <c r="W86" s="10">
        <f>1+(Q86)</f>
        <v>1.3633808481369596</v>
      </c>
    </row>
    <row r="87" spans="1:23" x14ac:dyDescent="0.15">
      <c r="A87" s="51" t="s">
        <v>840</v>
      </c>
      <c r="B87" s="104">
        <f>('Cash Flow'!B17+'Cash Flow'!B19)</f>
        <v>154000</v>
      </c>
      <c r="C87" s="104">
        <f>('Cash Flow'!C17+'Cash Flow'!C19)</f>
        <v>-8700</v>
      </c>
      <c r="D87" s="104">
        <f>('Cash Flow'!D17+'Cash Flow'!D19)</f>
        <v>-136200</v>
      </c>
      <c r="E87" s="104">
        <f>('Cash Flow'!E17+'Cash Flow'!E19)</f>
        <v>627100</v>
      </c>
      <c r="F87" s="104">
        <f>('Cash Flow'!F17+'Cash Flow'!F19)</f>
        <v>77600</v>
      </c>
      <c r="G87" s="104">
        <f>('Cash Flow'!G17+'Cash Flow'!G19)</f>
        <v>55784</v>
      </c>
      <c r="I87" s="90"/>
      <c r="J87" s="32">
        <f>AVERAGE(M87:Q87)</f>
        <v>5.1784695958119382</v>
      </c>
      <c r="K87" s="101">
        <f>STDEV(M87:Q87)</f>
        <v>8.1899979329175547</v>
      </c>
      <c r="M87" s="13">
        <f>(B87-C87)/-C87</f>
        <v>18.701149425287355</v>
      </c>
      <c r="N87" s="13">
        <f>(C87-D87)/-D87</f>
        <v>0.93612334801762109</v>
      </c>
      <c r="O87" s="13">
        <f>(D87-E87)/E87</f>
        <v>-1.2171902407909425</v>
      </c>
      <c r="P87" s="13">
        <f>(E87-F87)/F87</f>
        <v>7.0811855670103094</v>
      </c>
      <c r="Q87" s="13">
        <f>(F87-G87)/G87</f>
        <v>0.39107987953535062</v>
      </c>
      <c r="S87" s="10"/>
      <c r="T87" s="10"/>
      <c r="U87" s="10"/>
      <c r="V87" s="10"/>
      <c r="W87" s="10"/>
    </row>
    <row r="88" spans="1:23" x14ac:dyDescent="0.15">
      <c r="A88" s="51" t="s">
        <v>253</v>
      </c>
      <c r="B88" s="104">
        <f>B84-B80</f>
        <v>-297761</v>
      </c>
      <c r="C88" s="104">
        <f>C84-C80</f>
        <v>97878</v>
      </c>
      <c r="D88" s="104">
        <f>D84-D80</f>
        <v>446332</v>
      </c>
      <c r="E88" s="104">
        <f>E84-E80</f>
        <v>192696</v>
      </c>
      <c r="F88" s="104">
        <f>F84-F80</f>
        <v>-1214373</v>
      </c>
      <c r="G88" s="61"/>
      <c r="I88" s="30"/>
      <c r="J88" s="32">
        <f>AVERAGE(M88:Q88)</f>
        <v>-0.58698543288674621</v>
      </c>
      <c r="K88" s="101">
        <f>STDEV(M88:Q88)</f>
        <v>2.4930196095455655</v>
      </c>
      <c r="M88" s="13">
        <f>(B88-C88)/C88</f>
        <v>-4.0421647356913706</v>
      </c>
      <c r="N88" s="13">
        <f>(C88-D88)/D88</f>
        <v>-0.78070584228780371</v>
      </c>
      <c r="O88" s="13">
        <f>(D88-E88)/E88</f>
        <v>1.316249429152655</v>
      </c>
      <c r="P88" s="13">
        <f>(E88-F88)/-F88</f>
        <v>1.1586794172795343</v>
      </c>
      <c r="Q88" s="13"/>
      <c r="S88" s="10">
        <f t="shared" ref="S88:T92" si="10">1+(M88)</f>
        <v>-3.0421647356913706</v>
      </c>
      <c r="T88" s="10">
        <f t="shared" si="10"/>
        <v>0.21929415771219629</v>
      </c>
      <c r="U88" s="10">
        <f>1+(O88)</f>
        <v>2.3162494291526547</v>
      </c>
      <c r="V88" s="10">
        <f>1+(P88)</f>
        <v>2.1586794172795343</v>
      </c>
      <c r="W88" s="10"/>
    </row>
    <row r="89" spans="1:23" x14ac:dyDescent="0.15">
      <c r="A89" s="34"/>
      <c r="B89" s="34"/>
      <c r="I89" s="13"/>
      <c r="S89" s="10"/>
      <c r="T89" s="10"/>
      <c r="U89" s="10"/>
      <c r="V89" s="10"/>
      <c r="W89" s="10"/>
    </row>
    <row r="90" spans="1:23" x14ac:dyDescent="0.15">
      <c r="A90" s="51" t="s">
        <v>254</v>
      </c>
      <c r="B90" s="104">
        <f>'Inc Statement'!B62</f>
        <v>-34500</v>
      </c>
      <c r="C90" s="104">
        <f>'Inc Statement'!C62</f>
        <v>-206400</v>
      </c>
      <c r="D90" s="104">
        <f>'Inc Statement'!D62</f>
        <v>-299600</v>
      </c>
      <c r="E90" s="104">
        <f>'Inc Statement'!E62</f>
        <v>468100</v>
      </c>
      <c r="F90" s="104">
        <f>'Inc Statement'!F62</f>
        <v>14500</v>
      </c>
      <c r="G90" s="104">
        <f>'Inc Statement'!G62</f>
        <v>42700</v>
      </c>
      <c r="I90" s="30"/>
      <c r="J90" s="32">
        <f>AVERAGE(M90:Q90)</f>
        <v>6.0252466346846925</v>
      </c>
      <c r="K90" s="30">
        <f>STDEV(M90:Q90)</f>
        <v>14.151053666225113</v>
      </c>
      <c r="M90" s="13">
        <f>(B90-C90)/-C90</f>
        <v>0.83284883720930236</v>
      </c>
      <c r="N90" s="13">
        <f>(C90-D90)/-D90</f>
        <v>0.31108144192256343</v>
      </c>
      <c r="O90" s="13">
        <f t="shared" ref="O90:Q92" si="11">(D90-E90)/E90</f>
        <v>-1.6400341807306131</v>
      </c>
      <c r="P90" s="13">
        <f t="shared" si="11"/>
        <v>31.282758620689656</v>
      </c>
      <c r="Q90" s="13">
        <f t="shared" si="11"/>
        <v>-0.66042154566744726</v>
      </c>
      <c r="S90" s="10">
        <f t="shared" si="10"/>
        <v>1.8328488372093024</v>
      </c>
      <c r="T90" s="10">
        <f t="shared" si="10"/>
        <v>1.3110814419225634</v>
      </c>
      <c r="U90" s="10">
        <f t="shared" ref="U90:W92" si="12">1+(O90)</f>
        <v>-0.64003418073061313</v>
      </c>
      <c r="V90" s="10">
        <f t="shared" si="12"/>
        <v>32.282758620689656</v>
      </c>
      <c r="W90" s="10">
        <f t="shared" si="12"/>
        <v>0.33957845433255274</v>
      </c>
    </row>
    <row r="91" spans="1:23" x14ac:dyDescent="0.15">
      <c r="A91" s="51" t="s">
        <v>285</v>
      </c>
      <c r="B91" s="104">
        <f>'Inc Statement'!B64</f>
        <v>-18900</v>
      </c>
      <c r="C91" s="104">
        <f>'Inc Statement'!C64</f>
        <v>-188400</v>
      </c>
      <c r="D91" s="104">
        <f>'Inc Statement'!D64</f>
        <v>-284200</v>
      </c>
      <c r="E91" s="104">
        <f>'Inc Statement'!E64</f>
        <v>473600</v>
      </c>
      <c r="F91" s="104">
        <f>'Inc Statement'!F64</f>
        <v>14800</v>
      </c>
      <c r="G91" s="104">
        <f>'Inc Statement'!G64</f>
        <v>50209</v>
      </c>
      <c r="I91" s="30"/>
      <c r="J91" s="32">
        <f>AVERAGE(M91:Q91)</f>
        <v>5.9862902996533069</v>
      </c>
      <c r="K91" s="30">
        <f>STDEV(M91:Q91)</f>
        <v>14.016082896771296</v>
      </c>
      <c r="M91" s="13">
        <f>(B91-C91)/-C91</f>
        <v>0.89968152866242035</v>
      </c>
      <c r="N91" s="13">
        <f>(C91-D91)/-D91</f>
        <v>0.33708655876143562</v>
      </c>
      <c r="O91" s="13">
        <f t="shared" si="11"/>
        <v>-1.6000844594594594</v>
      </c>
      <c r="P91" s="13">
        <f t="shared" si="11"/>
        <v>31</v>
      </c>
      <c r="Q91" s="13">
        <f t="shared" si="11"/>
        <v>-0.70523212969786297</v>
      </c>
      <c r="S91" s="10">
        <f t="shared" si="10"/>
        <v>1.8996815286624202</v>
      </c>
      <c r="T91" s="10">
        <f t="shared" si="10"/>
        <v>1.3370865587614356</v>
      </c>
      <c r="U91" s="10">
        <f t="shared" si="12"/>
        <v>-0.60008445945945943</v>
      </c>
      <c r="V91" s="10">
        <f t="shared" si="12"/>
        <v>32</v>
      </c>
      <c r="W91" s="10">
        <f t="shared" si="12"/>
        <v>0.29476787030213703</v>
      </c>
    </row>
    <row r="92" spans="1:23" x14ac:dyDescent="0.15">
      <c r="A92" s="51" t="s">
        <v>255</v>
      </c>
      <c r="B92" s="104">
        <f>'Bal. Sheet'!B98</f>
        <v>2794600</v>
      </c>
      <c r="C92" s="104">
        <f>'Bal. Sheet'!C98</f>
        <v>2660000</v>
      </c>
      <c r="D92" s="104">
        <f>'Bal. Sheet'!D98</f>
        <v>2921900</v>
      </c>
      <c r="E92" s="104">
        <f>'Bal. Sheet'!E98</f>
        <v>3156900</v>
      </c>
      <c r="F92" s="104">
        <f>'Bal. Sheet'!F96</f>
        <v>2514400</v>
      </c>
      <c r="G92" s="104">
        <f>'Bal. Sheet'!G96</f>
        <v>850273</v>
      </c>
      <c r="I92" s="30">
        <f>(GEOMEAN(S92:W92))-1</f>
        <v>0.26868046659444245</v>
      </c>
      <c r="J92" s="32">
        <f>AVERAGE(M92:Q92)</f>
        <v>0.41984479258075752</v>
      </c>
      <c r="K92" s="30">
        <f>STDEV(M92:Q92)</f>
        <v>0.87042927313135032</v>
      </c>
      <c r="M92" s="13">
        <f>(B92-C92)/C92</f>
        <v>5.0601503759398495E-2</v>
      </c>
      <c r="N92" s="13">
        <f>(C92-D92)/D92</f>
        <v>-8.9633457681645504E-2</v>
      </c>
      <c r="O92" s="13">
        <f t="shared" si="11"/>
        <v>-7.4440115302987109E-2</v>
      </c>
      <c r="P92" s="13">
        <f t="shared" si="11"/>
        <v>0.25552815781100857</v>
      </c>
      <c r="Q92" s="13">
        <f t="shared" si="11"/>
        <v>1.9571678743180132</v>
      </c>
      <c r="S92" s="10">
        <f t="shared" si="10"/>
        <v>1.0506015037593985</v>
      </c>
      <c r="T92" s="10">
        <f t="shared" si="10"/>
        <v>0.91036654231835445</v>
      </c>
      <c r="U92" s="10">
        <f t="shared" si="12"/>
        <v>0.92555988469701289</v>
      </c>
      <c r="V92" s="10">
        <f t="shared" si="12"/>
        <v>1.2555281578110087</v>
      </c>
      <c r="W92" s="10">
        <f t="shared" si="12"/>
        <v>2.9571678743180132</v>
      </c>
    </row>
    <row r="93" spans="1:23" x14ac:dyDescent="0.15">
      <c r="A93" s="51" t="s">
        <v>256</v>
      </c>
      <c r="B93" s="51"/>
      <c r="C93" s="52"/>
      <c r="D93" s="52"/>
      <c r="E93" s="52"/>
      <c r="F93" s="52"/>
      <c r="G93" s="52"/>
    </row>
    <row r="94" spans="1:23" x14ac:dyDescent="0.15">
      <c r="A94" s="51" t="s">
        <v>257</v>
      </c>
      <c r="B94" s="131">
        <f>'Inc Statement'!B66</f>
        <v>220500</v>
      </c>
      <c r="C94" s="131">
        <f>'Inc Statement'!C66</f>
        <v>217900</v>
      </c>
      <c r="D94" s="131">
        <f>'Inc Statement'!D66</f>
        <v>213700</v>
      </c>
      <c r="E94" s="131">
        <f>'Inc Statement'!E66</f>
        <v>208400</v>
      </c>
      <c r="F94" s="131">
        <f>'Inc Statement'!F66</f>
        <v>165000</v>
      </c>
      <c r="G94" s="131">
        <f>'Inc Statement'!G66</f>
        <v>148480</v>
      </c>
      <c r="N94" s="34"/>
    </row>
    <row r="95" spans="1:23" x14ac:dyDescent="0.15">
      <c r="A95" s="38" t="s">
        <v>961</v>
      </c>
      <c r="B95" s="129">
        <f t="shared" ref="B95:G95" si="13">B94*B111</f>
        <v>1858998.7500000002</v>
      </c>
      <c r="C95" s="129">
        <f t="shared" si="13"/>
        <v>2728471.1848249999</v>
      </c>
      <c r="D95" s="129">
        <f t="shared" si="13"/>
        <v>5114909.4643833339</v>
      </c>
      <c r="E95" s="129">
        <f t="shared" si="13"/>
        <v>6108030.3159666667</v>
      </c>
      <c r="F95" s="129">
        <f t="shared" si="13"/>
        <v>3649662.5000000005</v>
      </c>
      <c r="G95" s="129">
        <f t="shared" si="13"/>
        <v>4996882.642773333</v>
      </c>
      <c r="I95" s="30">
        <f>(GEOMEAN(S95:W95))-1</f>
        <v>-0.17942933023820973</v>
      </c>
      <c r="J95" s="32">
        <f>AVERAGE(M95:Q95)</f>
        <v>-0.10876973936945038</v>
      </c>
      <c r="K95" s="30">
        <f>STDEV(M95:Q95)</f>
        <v>0.4508116424081311</v>
      </c>
      <c r="M95" s="13">
        <f>(B95-C95)/C95</f>
        <v>-0.31866652639058979</v>
      </c>
      <c r="N95" s="13">
        <f>(C95-D95)/D95</f>
        <v>-0.46656510661153</v>
      </c>
      <c r="O95" s="13">
        <f>(D95-E95)/E95</f>
        <v>-0.16259265265715367</v>
      </c>
      <c r="P95" s="13">
        <f>(E95-F95)/F95</f>
        <v>0.67358771282732743</v>
      </c>
      <c r="Q95" s="13">
        <f>(F95-G95)/G95</f>
        <v>-0.26961212401530577</v>
      </c>
      <c r="S95" s="10">
        <f>(1+M95)</f>
        <v>0.68133347360941021</v>
      </c>
      <c r="T95" s="10">
        <f>(1+N95)</f>
        <v>0.53343489338847005</v>
      </c>
      <c r="U95" s="10">
        <f>(1+O95)</f>
        <v>0.83740734734284628</v>
      </c>
      <c r="V95" s="10">
        <f>(1+P95)</f>
        <v>1.6735877128273273</v>
      </c>
      <c r="W95" s="10">
        <f>(1+Q95)</f>
        <v>0.73038787598469423</v>
      </c>
    </row>
    <row r="96" spans="1:23" x14ac:dyDescent="0.15">
      <c r="A96" s="34"/>
      <c r="B96" s="34"/>
      <c r="C96" s="36"/>
      <c r="D96" s="36"/>
      <c r="E96" s="36"/>
      <c r="F96" s="36"/>
      <c r="G96" s="36"/>
    </row>
    <row r="97" spans="1:23" x14ac:dyDescent="0.15">
      <c r="A97" s="51" t="s">
        <v>284</v>
      </c>
      <c r="B97" s="132">
        <f t="shared" ref="B97:G97" si="14">B90/B94</f>
        <v>-0.15646258503401361</v>
      </c>
      <c r="C97" s="132">
        <f t="shared" si="14"/>
        <v>-0.94722349701698028</v>
      </c>
      <c r="D97" s="132">
        <f t="shared" si="14"/>
        <v>-1.4019653720168461</v>
      </c>
      <c r="E97" s="132">
        <f t="shared" si="14"/>
        <v>2.2461612284069097</v>
      </c>
      <c r="F97" s="132">
        <f t="shared" si="14"/>
        <v>8.7878787878787876E-2</v>
      </c>
      <c r="G97" s="132">
        <f t="shared" si="14"/>
        <v>0.28758081896551724</v>
      </c>
    </row>
    <row r="98" spans="1:23" x14ac:dyDescent="0.15">
      <c r="A98" s="51" t="s">
        <v>258</v>
      </c>
      <c r="B98" s="129">
        <f>'Inc Statement'!B70</f>
        <v>-0.09</v>
      </c>
      <c r="C98" s="129">
        <f>'Inc Statement'!C70</f>
        <v>-0.86</v>
      </c>
      <c r="D98" s="129">
        <f>'Inc Statement'!D70</f>
        <v>-1.33</v>
      </c>
      <c r="E98" s="129">
        <f>'Inc Statement'!E70</f>
        <v>2.15</v>
      </c>
      <c r="F98" s="132">
        <f>'Inc Statement'!F70</f>
        <v>0.09</v>
      </c>
      <c r="G98" s="129">
        <f>'Inc Statement'!G70</f>
        <v>0.33</v>
      </c>
      <c r="J98" s="31"/>
      <c r="N98" s="13"/>
      <c r="O98" s="13"/>
      <c r="P98" s="13"/>
      <c r="Q98" s="13"/>
    </row>
    <row r="99" spans="1:23" x14ac:dyDescent="0.15">
      <c r="A99" s="51"/>
      <c r="B99" s="51"/>
      <c r="C99" s="129"/>
      <c r="D99" s="129"/>
      <c r="E99" s="129"/>
      <c r="F99" s="132"/>
      <c r="G99" s="129"/>
      <c r="J99" s="31"/>
      <c r="N99" s="13"/>
      <c r="O99" s="13"/>
      <c r="P99" s="13"/>
      <c r="Q99" s="13"/>
    </row>
    <row r="100" spans="1:23" x14ac:dyDescent="0.15">
      <c r="A100" s="51" t="s">
        <v>845</v>
      </c>
      <c r="B100" s="129">
        <f t="shared" ref="B100:G100" si="15">B86/B94</f>
        <v>6.0943310657596372</v>
      </c>
      <c r="C100" s="129">
        <f t="shared" si="15"/>
        <v>7.7925653969710877</v>
      </c>
      <c r="D100" s="129">
        <f t="shared" si="15"/>
        <v>6.4590547496490407</v>
      </c>
      <c r="E100" s="129">
        <f t="shared" si="15"/>
        <v>10.886756238003839</v>
      </c>
      <c r="F100" s="129">
        <f t="shared" si="15"/>
        <v>9.0399999999999991</v>
      </c>
      <c r="G100" s="129">
        <f t="shared" si="15"/>
        <v>7.3682987607758621</v>
      </c>
      <c r="K100" s="37"/>
    </row>
    <row r="101" spans="1:23" x14ac:dyDescent="0.15">
      <c r="A101" s="51" t="s">
        <v>684</v>
      </c>
      <c r="B101" s="129">
        <f>('Cash Flow'!B17+'Cash Flow'!B19)/Ratios!B94</f>
        <v>0.69841269841269837</v>
      </c>
      <c r="C101" s="129">
        <f>('Cash Flow'!C17+'Cash Flow'!C19)/Ratios!C94</f>
        <v>-3.9926571821936666E-2</v>
      </c>
      <c r="D101" s="129">
        <f>D87/D94</f>
        <v>-0.63734206832007489</v>
      </c>
      <c r="E101" s="129">
        <f>('Cash Flow'!E17+'Cash Flow'!E19)/Ratios!E94</f>
        <v>3.0091170825335891</v>
      </c>
      <c r="F101" s="129">
        <f>('Cash Flow'!F17+'Cash Flow'!F19)/Ratios!F94</f>
        <v>0.47030303030303028</v>
      </c>
      <c r="G101" s="129">
        <f>('Cash Flow'!G17+'Cash Flow'!G19)/Ratios!G94</f>
        <v>0.37570043103448275</v>
      </c>
      <c r="K101" s="37"/>
    </row>
    <row r="102" spans="1:23" x14ac:dyDescent="0.15">
      <c r="A102" s="51" t="s">
        <v>259</v>
      </c>
      <c r="B102" s="104">
        <f>'Inc Statement'!B16/Ratios!B94</f>
        <v>14.836734693877551</v>
      </c>
      <c r="C102" s="104">
        <f>'Inc Statement'!C16/Ratios!C94</f>
        <v>17.852225791647545</v>
      </c>
      <c r="D102" s="104">
        <f>'Inc Statement'!D16/Ratios!D94</f>
        <v>17.222742161909217</v>
      </c>
      <c r="E102" s="104">
        <f>'Inc Statement'!E16/Ratios!E94</f>
        <v>19.813339731285989</v>
      </c>
      <c r="F102" s="104">
        <f>'Inc Statement'!F16/Ratios!F94</f>
        <v>19.403030303030302</v>
      </c>
      <c r="G102" s="104">
        <f>'Inc Statement'!G16/Ratios!G94</f>
        <v>15.809664601293104</v>
      </c>
    </row>
    <row r="103" spans="1:23" x14ac:dyDescent="0.15">
      <c r="A103" s="51" t="s">
        <v>260</v>
      </c>
      <c r="B103" s="129">
        <v>0</v>
      </c>
      <c r="C103" s="129">
        <v>0</v>
      </c>
      <c r="D103" s="129">
        <f>'Inc Statement'!D71</f>
        <v>0.18</v>
      </c>
      <c r="E103" s="129">
        <f>'Inc Statement'!E71</f>
        <v>0.09</v>
      </c>
      <c r="F103" s="129">
        <f>'Inc Statement'!F71</f>
        <v>0.09</v>
      </c>
      <c r="G103" s="129">
        <f>'Inc Statement'!G71</f>
        <v>0.34</v>
      </c>
      <c r="J103" s="34"/>
      <c r="K103" s="13"/>
    </row>
    <row r="104" spans="1:23" x14ac:dyDescent="0.15">
      <c r="A104" s="51" t="s">
        <v>261</v>
      </c>
      <c r="B104" s="132">
        <f>B88/B94</f>
        <v>-1.350390022675737</v>
      </c>
      <c r="C104" s="132">
        <f>C88/C94</f>
        <v>0.44918770078017439</v>
      </c>
      <c r="D104" s="132">
        <f>D88/D94</f>
        <v>2.0885914833879271</v>
      </c>
      <c r="E104" s="132">
        <f>E88/E94</f>
        <v>0.92464491362763912</v>
      </c>
      <c r="F104" s="132">
        <f>F88/F94</f>
        <v>-7.3598363636363633</v>
      </c>
      <c r="G104" s="133" t="s">
        <v>271</v>
      </c>
      <c r="I104" s="263"/>
      <c r="J104" s="59"/>
      <c r="K104" s="31"/>
    </row>
    <row r="105" spans="1:23" x14ac:dyDescent="0.15">
      <c r="A105" s="51" t="s">
        <v>839</v>
      </c>
      <c r="B105" s="132">
        <f>B80/B94</f>
        <v>1.9383219954648525</v>
      </c>
      <c r="C105" s="132">
        <f>C80/C94</f>
        <v>-0.49196879302432306</v>
      </c>
      <c r="D105" s="132">
        <f>D80/D94</f>
        <v>-2.4922788956481048</v>
      </c>
      <c r="E105" s="132">
        <f>E80/E94</f>
        <v>0.37332053742802301</v>
      </c>
      <c r="F105" s="132">
        <f>F80/F94</f>
        <v>7.2679090909090913</v>
      </c>
      <c r="G105" s="133"/>
      <c r="J105" s="34"/>
      <c r="K105" s="31"/>
    </row>
    <row r="106" spans="1:23" x14ac:dyDescent="0.15">
      <c r="A106" s="51"/>
      <c r="B106" s="51"/>
      <c r="C106" s="132"/>
      <c r="D106" s="132"/>
      <c r="E106" s="132"/>
      <c r="F106" s="132"/>
      <c r="G106" s="133"/>
      <c r="J106" s="34"/>
      <c r="K106" s="31"/>
    </row>
    <row r="107" spans="1:23" x14ac:dyDescent="0.15">
      <c r="A107" s="51" t="s">
        <v>262</v>
      </c>
      <c r="B107" s="90">
        <f>1-(B103/B98)</f>
        <v>1</v>
      </c>
      <c r="C107" s="90">
        <f>1-(C103/C98)</f>
        <v>1</v>
      </c>
      <c r="D107" s="90">
        <f>1-(D103/D98)</f>
        <v>1.1353383458646618</v>
      </c>
      <c r="E107" s="90">
        <f>1-(E103/E98)</f>
        <v>0.95813953488372094</v>
      </c>
      <c r="F107" s="90">
        <v>0</v>
      </c>
      <c r="G107" s="90">
        <f>1-(G103/G98)</f>
        <v>-3.0303030303030276E-2</v>
      </c>
      <c r="K107" s="37"/>
      <c r="L107" s="37"/>
      <c r="M107" s="37"/>
      <c r="N107" s="37"/>
      <c r="O107" s="37"/>
    </row>
    <row r="108" spans="1:23" x14ac:dyDescent="0.15">
      <c r="A108" s="51" t="s">
        <v>287</v>
      </c>
      <c r="B108" s="90">
        <f t="shared" ref="B108:G108" si="16">B103/B98</f>
        <v>0</v>
      </c>
      <c r="C108" s="90">
        <f t="shared" si="16"/>
        <v>0</v>
      </c>
      <c r="D108" s="90">
        <f t="shared" si="16"/>
        <v>-0.13533834586466165</v>
      </c>
      <c r="E108" s="90">
        <f t="shared" si="16"/>
        <v>4.1860465116279069E-2</v>
      </c>
      <c r="F108" s="90">
        <f t="shared" si="16"/>
        <v>1</v>
      </c>
      <c r="G108" s="90">
        <f t="shared" si="16"/>
        <v>1.0303030303030303</v>
      </c>
    </row>
    <row r="109" spans="1:23" x14ac:dyDescent="0.15">
      <c r="A109" s="51" t="s">
        <v>263</v>
      </c>
      <c r="B109" s="104">
        <f>'Bal. Sheet'!B98/Ratios!B94</f>
        <v>12.673922902494331</v>
      </c>
      <c r="C109" s="104">
        <f>'Bal. Sheet'!C98/Ratios!C94</f>
        <v>12.207434603028913</v>
      </c>
      <c r="D109" s="104">
        <f>'Bal. Sheet'!D98/Ratios!D94</f>
        <v>13.672905942910623</v>
      </c>
      <c r="E109" s="104">
        <f>'Bal. Sheet'!E98/Ratios!E94</f>
        <v>15.148272552783109</v>
      </c>
      <c r="F109" s="104">
        <f>'Bal. Sheet'!F96/Ratios!F94</f>
        <v>15.238787878787878</v>
      </c>
      <c r="G109" s="104">
        <f>'Bal. Sheet'!G96/Ratios!G94</f>
        <v>5.726515355603448</v>
      </c>
    </row>
    <row r="110" spans="1:23" ht="14" x14ac:dyDescent="0.15">
      <c r="A110" s="34" t="s">
        <v>264</v>
      </c>
      <c r="B110" s="37">
        <f>(('Bal. Sheet'!B16+('Bal. Sheet'!B21*0.9)+('Bal. Sheet'!B27*0.2)+('Bal. Sheet'!B31*0.8)+('Bal. Sheet'!B41*0.8)+('Bal. Sheet'!B42*0.95)+('Bal. Sheet'!B43*0.3)+('Bal. Sheet'!B51*0.1))-(('Bal. Sheet'!B56)+('Bal. Sheet'!B57*0.2)+('Bal. Sheet'!B58)+('Bal. Sheet'!B59)+('Bal. Sheet'!B76)+('Bal. Sheet'!B80*0.2)+('Bal. Sheet'!B81)+('Bal. Sheet'!B82*0.9)))/B94</f>
        <v>-4.6244217687074833</v>
      </c>
      <c r="C110" s="37">
        <f>(('Bal. Sheet'!C16+('Bal. Sheet'!C21*0.9)+('Bal. Sheet'!C27*0.2)+('Bal. Sheet'!C31*0.8)+('Bal. Sheet'!C41*0.8)+('Bal. Sheet'!C42*0.95)+('Bal. Sheet'!C43*0.3)+('Bal. Sheet'!C51*0.1))-(('Bal. Sheet'!C56)+('Bal. Sheet'!C57*0.2)+('Bal. Sheet'!C58)+('Bal. Sheet'!C59)+('Bal. Sheet'!C76)+('Bal. Sheet'!C80*0.2)+('Bal. Sheet'!C81)+('Bal. Sheet'!C82*0.9)))/C94</f>
        <v>-6.6326525929325379</v>
      </c>
      <c r="D110" s="37">
        <f>(('Bal. Sheet'!D16+('Bal. Sheet'!D21*0.9)+('Bal. Sheet'!D27*0.2)+('Bal. Sheet'!D31*0.8)+('Bal. Sheet'!D41*0.8)+('Bal. Sheet'!D42*0.95)+('Bal. Sheet'!D43*0.3)+('Bal. Sheet'!D51*0.1))-(('Bal. Sheet'!D56)+('Bal. Sheet'!D57*0.2)+('Bal. Sheet'!D58)+('Bal. Sheet'!D59)+('Bal. Sheet'!D76)+('Bal. Sheet'!D80*0.2)+('Bal. Sheet'!D81)+('Bal. Sheet'!D82*0.9)))/D94</f>
        <v>-6.8297613476836689</v>
      </c>
      <c r="E110" s="37">
        <f>(('Bal. Sheet'!E16+('Bal. Sheet'!E21*0.9)+('Bal. Sheet'!E27*0.2)+('Bal. Sheet'!E31*0.8)+('Bal. Sheet'!E41*0.8)+('Bal. Sheet'!E42*0.95)+('Bal. Sheet'!E43*0.3)+('Bal. Sheet'!E51*0.1))-(('Bal. Sheet'!E56)+('Bal. Sheet'!E57*0.2)+('Bal. Sheet'!E58)+('Bal. Sheet'!E59)+('Bal. Sheet'!E76)+('Bal. Sheet'!E80*0.2)+('Bal. Sheet'!E81)+('Bal. Sheet'!E82*0.9)))/E94</f>
        <v>-0.95573416506717845</v>
      </c>
      <c r="F110" s="37">
        <f>(('Bal. Sheet'!F16+('Bal. Sheet'!F21*0.9)+('Bal. Sheet'!F27*0.2)+('Bal. Sheet'!F31*0.8)+('Bal. Sheet'!F41*0.8)+('Bal. Sheet'!F42*0.95)+('Bal. Sheet'!F43*0.3)+('Bal. Sheet'!F51*0.1))-(('Bal. Sheet'!F56)+('Bal. Sheet'!F57*0.2)+('Bal. Sheet'!F58)+('Bal. Sheet'!F59)+('Bal. Sheet'!F76)+('Bal. Sheet'!F80*0.2)+('Bal. Sheet'!F81)+('Bal. Sheet'!F82*0.9)))/F94</f>
        <v>-4.1982121212121211</v>
      </c>
      <c r="G110" s="37"/>
      <c r="I110" s="97" t="s">
        <v>312</v>
      </c>
      <c r="J110" s="97" t="s">
        <v>162</v>
      </c>
      <c r="K110" s="99" t="str">
        <f>K73</f>
        <v>σ</v>
      </c>
    </row>
    <row r="111" spans="1:23" x14ac:dyDescent="0.15">
      <c r="A111" s="51" t="s">
        <v>960</v>
      </c>
      <c r="B111" s="129">
        <f>'LGF.A market price'!J2</f>
        <v>8.4308333333333341</v>
      </c>
      <c r="C111" s="129">
        <f>'LGF.A market price'!K2</f>
        <v>12.52166675</v>
      </c>
      <c r="D111" s="129">
        <f>'LGF.A market price'!L2</f>
        <v>23.934999833333336</v>
      </c>
      <c r="E111" s="129">
        <f>'LGF.A market price'!M2</f>
        <v>29.309166583333333</v>
      </c>
      <c r="F111" s="129">
        <f>'LGF.A market price'!N2</f>
        <v>22.119166666666668</v>
      </c>
      <c r="G111" s="129">
        <f>'LGF.A market price'!O2</f>
        <v>33.653573833333333</v>
      </c>
      <c r="I111" s="30">
        <f>(GEOMEAN(S111:W111))-1</f>
        <v>-0.24182778851620368</v>
      </c>
      <c r="J111" s="32">
        <f>AVERAGE(M111:Q111)</f>
        <v>-0.20091813764378239</v>
      </c>
      <c r="K111" s="30">
        <f>STDEV(M111:Q111)</f>
        <v>0.31186125188652036</v>
      </c>
      <c r="M111" s="13">
        <f>(B111-C111)/C111</f>
        <v>-0.32670039047850125</v>
      </c>
      <c r="N111" s="13">
        <f>(C111-D111)/D111</f>
        <v>-0.4768470090999723</v>
      </c>
      <c r="O111" s="13">
        <f>(D111-E111)/E111</f>
        <v>-0.18336129533809462</v>
      </c>
      <c r="P111" s="13">
        <f>(E111-F111)/F111</f>
        <v>0.32505745017518733</v>
      </c>
      <c r="Q111" s="13">
        <f>(F111-G111)/G111</f>
        <v>-0.34273944347753094</v>
      </c>
      <c r="S111" s="10">
        <f>(1+M111)</f>
        <v>0.6732996095214987</v>
      </c>
      <c r="T111" s="10">
        <f>(1+N111)</f>
        <v>0.52315299090002765</v>
      </c>
      <c r="U111" s="10">
        <f>(1+O111)</f>
        <v>0.81663870466190536</v>
      </c>
      <c r="V111" s="10">
        <f>(1+P111)</f>
        <v>1.3250574501751873</v>
      </c>
      <c r="W111" s="10">
        <f>(1+Q111)</f>
        <v>0.65726055652246906</v>
      </c>
    </row>
    <row r="112" spans="1:23" x14ac:dyDescent="0.15">
      <c r="A112" s="34"/>
      <c r="B112" s="34"/>
    </row>
    <row r="113" spans="1:27" x14ac:dyDescent="0.15">
      <c r="A113" s="51" t="s">
        <v>265</v>
      </c>
      <c r="B113" s="129">
        <f>B86/'Bal. Sheet'!B54</f>
        <v>0.16178276468180394</v>
      </c>
      <c r="C113" s="129">
        <f>C86/'Bal. Sheet'!C54</f>
        <v>0.21355267129489888</v>
      </c>
      <c r="D113" s="129">
        <f>D86/'Bal. Sheet'!D54</f>
        <v>0.16414751037591124</v>
      </c>
      <c r="E113" s="129">
        <f>E86/'Bal. Sheet'!E54</f>
        <v>0.25299968776484233</v>
      </c>
      <c r="F113" s="129">
        <f>F86/'Bal. Sheet'!F54</f>
        <v>0.1621850841044265</v>
      </c>
      <c r="G113" s="129">
        <f>G86/'Bal. Sheet'!G54</f>
        <v>0.28376156916287038</v>
      </c>
      <c r="J113" s="104">
        <f>AVERAGE(B113:G113)</f>
        <v>0.20640488123079223</v>
      </c>
      <c r="K113" s="129">
        <f>STDEV(B113:G113)</f>
        <v>5.2798547709842096E-2</v>
      </c>
    </row>
    <row r="114" spans="1:27" x14ac:dyDescent="0.15">
      <c r="A114" s="51" t="s">
        <v>266</v>
      </c>
      <c r="B114" s="129">
        <f>B86/'Inc Statement'!B16</f>
        <v>0.41075959040195631</v>
      </c>
      <c r="C114" s="129">
        <f>C86/'Inc Statement'!C16</f>
        <v>0.43650385604113112</v>
      </c>
      <c r="D114" s="129">
        <f>D86/'Inc Statement'!D16</f>
        <v>0.37503056649911698</v>
      </c>
      <c r="E114" s="129">
        <f>E86/'Inc Statement'!E16</f>
        <v>0.5494659853236783</v>
      </c>
      <c r="F114" s="129">
        <f>F86/'Inc Statement'!F16</f>
        <v>0.46590660627830704</v>
      </c>
      <c r="G114" s="129">
        <f>G86/'Inc Statement'!G16</f>
        <v>0.46606293976490776</v>
      </c>
      <c r="J114" s="104">
        <f>AVERAGE(B114:G114)</f>
        <v>0.45062159071818292</v>
      </c>
      <c r="K114" s="129">
        <f>STDEV(B114:G114)</f>
        <v>5.9572768527394716E-2</v>
      </c>
    </row>
    <row r="115" spans="1:27" x14ac:dyDescent="0.15">
      <c r="A115" s="82" t="s">
        <v>267</v>
      </c>
      <c r="B115" s="102">
        <f>(B90-C90)/(C92-D92)</f>
        <v>-0.6563573883161512</v>
      </c>
      <c r="C115" s="102">
        <f>(C90-D90)/(D92-E92)</f>
        <v>-0.39659574468085107</v>
      </c>
      <c r="D115" s="102">
        <f>(D90-E90)/(E92-F92)</f>
        <v>-1.1948638132295719</v>
      </c>
      <c r="E115" s="102">
        <f>(E90-F90)/(F92-G92)</f>
        <v>0.2725753503188158</v>
      </c>
      <c r="F115" s="13"/>
      <c r="J115" s="30">
        <f>AVERAGE(B115:E115)</f>
        <v>-0.49381039897693962</v>
      </c>
      <c r="K115" s="30">
        <f>STDEV(B115:E115)</f>
        <v>0.60956137758009743</v>
      </c>
    </row>
    <row r="116" spans="1:27" x14ac:dyDescent="0.15">
      <c r="A116" s="51" t="s">
        <v>268</v>
      </c>
      <c r="B116" s="30">
        <f t="shared" ref="B116:G116" si="17">B84/B79</f>
        <v>6.5050429023031764E-2</v>
      </c>
      <c r="C116" s="30">
        <f t="shared" si="17"/>
        <v>-5.9546470776109866E-3</v>
      </c>
      <c r="D116" s="30">
        <f t="shared" si="17"/>
        <v>-5.1574101751658996E-2</v>
      </c>
      <c r="E116" s="30">
        <f t="shared" si="17"/>
        <v>0.12265723484333198</v>
      </c>
      <c r="F116" s="30">
        <f t="shared" si="17"/>
        <v>-7.1294947121034076E-3</v>
      </c>
      <c r="G116" s="30">
        <f t="shared" si="17"/>
        <v>1.7915727220334056E-2</v>
      </c>
      <c r="J116" s="32">
        <f>AVERAGE(B116:G116)</f>
        <v>2.3494191257554069E-2</v>
      </c>
      <c r="K116" s="30">
        <f>STDEV(B116:G116)</f>
        <v>6.1695449116456413E-2</v>
      </c>
    </row>
    <row r="117" spans="1:27" x14ac:dyDescent="0.15">
      <c r="A117" s="51" t="s">
        <v>269</v>
      </c>
      <c r="B117" s="30">
        <f>(((B78-C78)-('Cash Flow'!B19+'Cash Flow'!B20))+(('Bal. Sheet'!B28-'Bal. Sheet'!B16)-('Bal. Sheet'!C28-'Bal. Sheet'!C16)))/B84</f>
        <v>-8.134897677396463</v>
      </c>
      <c r="C117" s="30">
        <f>(((C78-D78)-('Cash Flow'!C19+'Cash Flow'!C20))+(('Bal. Sheet'!C28-'Bal. Sheet'!C16)-('Bal. Sheet'!D28-'Bal. Sheet'!D16)))/C84</f>
        <v>246.05234928127012</v>
      </c>
      <c r="D117" s="30">
        <f>(((D78-E78)-('Cash Flow'!D19+'Cash Flow'!D20))+(('Bal. Sheet'!D28-'Bal. Sheet'!D16)-('Bal. Sheet'!E28-'Bal. Sheet'!E16)))/D84</f>
        <v>21.922381416052303</v>
      </c>
      <c r="E117" s="30">
        <f>(((E78-F78)-('Cash Flow'!E19+'Cash Flow'!E20))+(('Bal. Sheet'!E28-'Bal. Sheet'!E16)-('Bal. Sheet'!F28-'Bal. Sheet'!F16)))/E84</f>
        <v>-6.7117443511179466</v>
      </c>
      <c r="F117" s="30">
        <f>(((F78-G78)-('Cash Flow'!F19+'Cash Flow'!F20))+(('Bal. Sheet'!F28-'Bal. Sheet'!F16)-('Bal. Sheet'!G28-'Bal. Sheet'!G16)))/F84</f>
        <v>51.916864451476791</v>
      </c>
      <c r="G117" s="13"/>
    </row>
    <row r="118" spans="1:27" x14ac:dyDescent="0.15">
      <c r="A118" s="51" t="s">
        <v>270</v>
      </c>
      <c r="B118" s="30">
        <f>B116*B117</f>
        <v>-0.52917858397310458</v>
      </c>
      <c r="C118" s="30">
        <f>C116*C117</f>
        <v>-1.465154902587033</v>
      </c>
      <c r="D118" s="30">
        <f>D116*D117</f>
        <v>-1.1306271297901598</v>
      </c>
      <c r="E118" s="30">
        <f>E116*E117</f>
        <v>-0.82324400308348078</v>
      </c>
      <c r="F118" s="30">
        <f>F116*F117</f>
        <v>-0.37014101057579318</v>
      </c>
      <c r="G118" s="13"/>
      <c r="J118" s="32">
        <f>AVERAGE(B118:F118)</f>
        <v>-0.86366912600191426</v>
      </c>
      <c r="K118" s="30">
        <f>STDEV(B118:F118)</f>
        <v>0.44444904916271455</v>
      </c>
    </row>
    <row r="119" spans="1:27" x14ac:dyDescent="0.15">
      <c r="A119" s="51" t="s">
        <v>971</v>
      </c>
      <c r="B119" s="32">
        <f>B45*B107</f>
        <v>-1.2969924812030076E-2</v>
      </c>
      <c r="C119" s="32">
        <f>C45*C107</f>
        <v>-7.0638967794927954E-2</v>
      </c>
      <c r="D119" s="32">
        <f>D45*D107</f>
        <v>-0.10774727372455657</v>
      </c>
      <c r="E119" s="32">
        <f>E45*E107</f>
        <v>0.17837460876514069</v>
      </c>
      <c r="F119" s="32">
        <f>F45*F107</f>
        <v>0</v>
      </c>
      <c r="G119" s="31"/>
      <c r="J119" s="32">
        <f>AVERAGE(B119:F119)</f>
        <v>-2.5963115132747795E-3</v>
      </c>
      <c r="K119" s="30">
        <f>STDEV(B119:F119)</f>
        <v>0.11017185961100082</v>
      </c>
      <c r="W119" s="34"/>
    </row>
    <row r="120" spans="1:27" x14ac:dyDescent="0.15">
      <c r="D120" s="31"/>
      <c r="K120" s="92"/>
      <c r="W120" s="34"/>
      <c r="X120" s="37"/>
      <c r="Y120" s="37"/>
      <c r="Z120" s="37"/>
      <c r="AA120" s="37"/>
    </row>
    <row r="121" spans="1:27" x14ac:dyDescent="0.15">
      <c r="A121" s="35" t="s">
        <v>668</v>
      </c>
      <c r="B121" s="35"/>
      <c r="D121" s="31"/>
      <c r="K121" s="92"/>
      <c r="W121" s="34"/>
      <c r="X121" s="37"/>
      <c r="Y121" s="37"/>
      <c r="Z121" s="37"/>
      <c r="AA121" s="37"/>
    </row>
    <row r="122" spans="1:27" x14ac:dyDescent="0.15">
      <c r="A122" s="51" t="s">
        <v>277</v>
      </c>
      <c r="B122" s="30">
        <f>-'Inc Statement'!B60/'Inc Statement'!B50</f>
        <v>0.98275862068965514</v>
      </c>
      <c r="C122" s="30">
        <f>-'Inc Statement'!C60/'Inc Statement'!C50</f>
        <v>1.6248153618906941E-2</v>
      </c>
      <c r="D122" s="30">
        <f>-'Inc Statement'!D60/'Inc Statement'!D50</f>
        <v>-2.7588445309964297E-2</v>
      </c>
      <c r="E122" s="30">
        <f>'Inc Statement'!E60/'Inc Statement'!E50</f>
        <v>-2.1479488903833222</v>
      </c>
      <c r="F122" s="30">
        <f>-'Inc Statement'!F60/'Inc Statement'!F50</f>
        <v>-1.1078869047619047</v>
      </c>
      <c r="G122" s="30">
        <f>-'Inc Statement'!G60/'Inc Statement'!G50</f>
        <v>-2.2623052591125434</v>
      </c>
      <c r="J122" s="32">
        <f>AVERAGE(B122:G122)</f>
        <v>-0.75778712087652877</v>
      </c>
      <c r="K122" s="30">
        <f>STDEV(B122:G122)</f>
        <v>1.302345163372796</v>
      </c>
      <c r="V122" s="88"/>
      <c r="W122" s="34"/>
      <c r="X122" s="37"/>
      <c r="Y122" s="37"/>
      <c r="Z122" s="37"/>
      <c r="AA122" s="37"/>
    </row>
    <row r="123" spans="1:27" x14ac:dyDescent="0.15">
      <c r="A123" s="51" t="s">
        <v>314</v>
      </c>
      <c r="B123" s="30">
        <f>'Bal. Sheet'!B31/'Bal. Sheet'!B53</f>
        <v>0.31219889037151488</v>
      </c>
      <c r="C123" s="30">
        <f>'Bal. Sheet'!C31/'Bal. Sheet'!C53</f>
        <v>0.2284024024928121</v>
      </c>
      <c r="D123" s="30">
        <f>'Bal. Sheet'!D31/'Bal. Sheet'!D53</f>
        <v>0.23836339012046476</v>
      </c>
      <c r="E123" s="30">
        <f>'Bal. Sheet'!E31/'Bal. Sheet'!E53</f>
        <v>0.23517965112238515</v>
      </c>
      <c r="F123" s="30">
        <f>'Bal. Sheet'!F31/'Bal. Sheet'!F53</f>
        <v>0.23040031972290681</v>
      </c>
      <c r="G123" s="30">
        <f>'Bal. Sheet'!G30/'Bal. Sheet'!G53</f>
        <v>0.53842934675519227</v>
      </c>
      <c r="J123" s="32">
        <f>AVERAGE(B123:G123)</f>
        <v>0.29716233343087933</v>
      </c>
      <c r="K123" s="30">
        <f>STDEV(B123:G123)</f>
        <v>0.1224092586208996</v>
      </c>
      <c r="W123" s="87"/>
      <c r="X123" s="37"/>
      <c r="Y123" s="37"/>
      <c r="Z123" s="37"/>
      <c r="AA123" s="37"/>
    </row>
    <row r="124" spans="1:27" x14ac:dyDescent="0.15">
      <c r="M124" s="35" t="s">
        <v>1011</v>
      </c>
      <c r="N124" s="35" t="str">
        <f>N73</f>
        <v>2018 to 2019</v>
      </c>
      <c r="O124" s="35" t="str">
        <f>O73</f>
        <v>2017 to 2018</v>
      </c>
      <c r="P124" s="35" t="str">
        <f>P73</f>
        <v>2016 to 2017</v>
      </c>
      <c r="Q124" s="35" t="str">
        <f>Q73</f>
        <v>2015 to 2016</v>
      </c>
      <c r="T124" s="35" t="s">
        <v>313</v>
      </c>
    </row>
    <row r="125" spans="1:27" x14ac:dyDescent="0.15">
      <c r="A125" s="51" t="s">
        <v>915</v>
      </c>
      <c r="B125" s="129">
        <f>'Bal. Sheet'!B31</f>
        <v>2222700</v>
      </c>
      <c r="C125" s="129">
        <f>'Bal. Sheet'!C31</f>
        <v>1517300</v>
      </c>
      <c r="D125" s="129">
        <f>'Bal. Sheet'!D31</f>
        <v>1672000</v>
      </c>
      <c r="E125" s="129">
        <f>'Bal. Sheet'!E31</f>
        <v>1692000</v>
      </c>
      <c r="F125" s="129">
        <f>'Bal. Sheet'!F31</f>
        <v>1729500</v>
      </c>
      <c r="G125" s="129">
        <f>'Bal. Sheet'!G30</f>
        <v>1478296</v>
      </c>
      <c r="I125" s="30">
        <f>(GEOMEAN(S125:W125))-1</f>
        <v>8.4985388411188856E-2</v>
      </c>
      <c r="J125" s="32">
        <f>AVERAGE(M125:Q125)</f>
        <v>0.10176120455383982</v>
      </c>
      <c r="K125" s="30">
        <f>STDEV(M125:Q125)</f>
        <v>0.22494766575097472</v>
      </c>
      <c r="M125" s="13">
        <f t="shared" ref="M125:Q126" si="18">(B125-C125)/C125</f>
        <v>0.4649047650431688</v>
      </c>
      <c r="N125" s="13">
        <f t="shared" si="18"/>
        <v>-9.2523923444976078E-2</v>
      </c>
      <c r="O125" s="13">
        <f t="shared" si="18"/>
        <v>-1.1820330969267139E-2</v>
      </c>
      <c r="P125" s="13">
        <f t="shared" si="18"/>
        <v>-2.1682567215958369E-2</v>
      </c>
      <c r="Q125" s="13">
        <f t="shared" si="18"/>
        <v>0.16992807935623178</v>
      </c>
      <c r="R125" s="13"/>
      <c r="S125" s="128">
        <f t="shared" ref="S125:W126" si="19">1+(M125)</f>
        <v>1.4649047650431688</v>
      </c>
      <c r="T125" s="128">
        <f t="shared" si="19"/>
        <v>0.90747607655502394</v>
      </c>
      <c r="U125" s="128">
        <f t="shared" si="19"/>
        <v>0.98817966903073284</v>
      </c>
      <c r="V125" s="128">
        <f t="shared" si="19"/>
        <v>0.9783174327840416</v>
      </c>
      <c r="W125" s="128">
        <f t="shared" si="19"/>
        <v>1.1699280793562319</v>
      </c>
    </row>
    <row r="126" spans="1:27" x14ac:dyDescent="0.15">
      <c r="A126" s="51" t="s">
        <v>667</v>
      </c>
      <c r="B126" s="104">
        <f>'Cash Flow'!B20</f>
        <v>1189800</v>
      </c>
      <c r="C126" s="104">
        <f>'Cash Flow'!C20</f>
        <v>1706700</v>
      </c>
      <c r="D126" s="104">
        <f>'Cash Flow'!D20</f>
        <v>1516500</v>
      </c>
      <c r="E126" s="104">
        <f>'Cash Flow'!E20</f>
        <v>1641700</v>
      </c>
      <c r="F126" s="104">
        <f>'Cash Flow'!F20</f>
        <v>1414000</v>
      </c>
      <c r="G126" s="104">
        <f>'Cash Flow'!G20</f>
        <v>1029077</v>
      </c>
      <c r="I126" s="30">
        <f>(GEOMEAN(S126:W126))-1</f>
        <v>2.9449906646250135E-2</v>
      </c>
      <c r="J126" s="32">
        <f>AVERAGE(M126:Q126)</f>
        <v>5.6274431678494163E-2</v>
      </c>
      <c r="K126" s="30">
        <f>STDEV(M126:Q126)</f>
        <v>0.25655506174956227</v>
      </c>
      <c r="M126" s="13">
        <f t="shared" si="18"/>
        <v>-0.30286517841448407</v>
      </c>
      <c r="N126" s="13">
        <f t="shared" si="18"/>
        <v>0.12542037586547972</v>
      </c>
      <c r="O126" s="13">
        <f t="shared" si="18"/>
        <v>-7.6262410915514403E-2</v>
      </c>
      <c r="P126" s="13">
        <f t="shared" si="18"/>
        <v>0.16103253182461102</v>
      </c>
      <c r="Q126" s="13">
        <f t="shared" si="18"/>
        <v>0.37404684003237854</v>
      </c>
      <c r="S126" s="128">
        <f t="shared" si="19"/>
        <v>0.69713482158551598</v>
      </c>
      <c r="T126" s="128">
        <f t="shared" si="19"/>
        <v>1.1254203758654797</v>
      </c>
      <c r="U126" s="128">
        <f t="shared" si="19"/>
        <v>0.92373758908448556</v>
      </c>
      <c r="V126" s="128">
        <f t="shared" si="19"/>
        <v>1.1610325318246111</v>
      </c>
      <c r="W126" s="128">
        <f t="shared" si="19"/>
        <v>1.3740468400323786</v>
      </c>
    </row>
    <row r="127" spans="1:27" x14ac:dyDescent="0.15">
      <c r="F127" s="37"/>
      <c r="G127" s="37"/>
    </row>
    <row r="128" spans="1:27" x14ac:dyDescent="0.15">
      <c r="A128" s="51" t="s">
        <v>917</v>
      </c>
      <c r="B128" s="104">
        <f>B126+(B125-C125)</f>
        <v>1895200</v>
      </c>
      <c r="C128" s="104">
        <f>C126+(C125-D125)</f>
        <v>1552000</v>
      </c>
      <c r="D128" s="104">
        <f>D126+(D125-E125)</f>
        <v>1496500</v>
      </c>
      <c r="E128" s="104">
        <f>E126+(E125-F125)</f>
        <v>1604200</v>
      </c>
      <c r="F128" s="104">
        <f>F126+(F125-G125)</f>
        <v>1665204</v>
      </c>
      <c r="G128" s="104">
        <f>-'Cash Flow'!G38</f>
        <v>1066403</v>
      </c>
      <c r="I128" s="30">
        <f>(GEOMEAN(S128:W128))-1</f>
        <v>0.12188085784257052</v>
      </c>
      <c r="J128" s="32">
        <f>AVERAGE(M128:Q128)</f>
        <v>0.14319289500233195</v>
      </c>
      <c r="K128" s="30">
        <f>STDEV(M128:Q128)</f>
        <v>0.25927919735998656</v>
      </c>
      <c r="M128" s="13">
        <f>(B128-C128)/C128</f>
        <v>0.22113402061855669</v>
      </c>
      <c r="N128" s="13">
        <f>(C128-D128)/D128</f>
        <v>3.7086535248914136E-2</v>
      </c>
      <c r="O128" s="13">
        <f>(D128-E128)/E128</f>
        <v>-6.7136267298341851E-2</v>
      </c>
      <c r="P128" s="13">
        <f>(E128-F128)/F128</f>
        <v>-3.6634550481502569E-2</v>
      </c>
      <c r="Q128" s="13">
        <f>(F128-G128)/G128</f>
        <v>0.56151473692403342</v>
      </c>
      <c r="S128" s="10">
        <f>1+(M128)</f>
        <v>1.2211340206185568</v>
      </c>
      <c r="T128" s="10">
        <f>1+(N128)</f>
        <v>1.037086535248914</v>
      </c>
      <c r="U128" s="10">
        <f>1+(O128)</f>
        <v>0.93286373270165812</v>
      </c>
      <c r="V128" s="10">
        <f>1+(P128)</f>
        <v>0.96336544951849745</v>
      </c>
      <c r="W128" s="10">
        <f>1+(Q128)</f>
        <v>1.5615147369240334</v>
      </c>
    </row>
    <row r="129" spans="1:13" x14ac:dyDescent="0.15">
      <c r="A129" s="228"/>
      <c r="B129" s="228"/>
      <c r="C129" s="37"/>
      <c r="D129" s="37"/>
      <c r="E129" s="37"/>
      <c r="F129" s="37"/>
    </row>
    <row r="130" spans="1:13" x14ac:dyDescent="0.15">
      <c r="A130" s="38" t="s">
        <v>942</v>
      </c>
      <c r="B130" s="30">
        <f>B84/'Inc Statement'!B16</f>
        <v>3.9626776707932139E-2</v>
      </c>
      <c r="C130" s="30">
        <f>C84/'Inc Statement'!C16</f>
        <v>-2.3964010282776348E-3</v>
      </c>
      <c r="D130" s="30">
        <f>D84/'Inc Statement'!D16</f>
        <v>-2.343920662953403E-2</v>
      </c>
      <c r="E130" s="30">
        <f>E84/'Inc Statement'!E16</f>
        <v>6.5509675231890732E-2</v>
      </c>
      <c r="F130" s="30">
        <f>F84/'Inc Statement'!F16</f>
        <v>-4.7377791660159303E-3</v>
      </c>
      <c r="G130" s="30">
        <f>G84/'Inc Statement'!G16</f>
        <v>7.0848365800907304E-3</v>
      </c>
      <c r="J130" s="32">
        <f>AVERAGE(B130:G130)</f>
        <v>1.3607983616014334E-2</v>
      </c>
      <c r="K130" s="30">
        <f>STDEV(B130:G130)</f>
        <v>3.2797915417869687E-2</v>
      </c>
    </row>
    <row r="131" spans="1:13" x14ac:dyDescent="0.15">
      <c r="A131" s="38" t="s">
        <v>941</v>
      </c>
      <c r="B131" s="30">
        <f>B79/'Inc Statement'!B16</f>
        <v>0.60917010545621275</v>
      </c>
      <c r="C131" s="30">
        <f>C79/'Inc Statement'!C16</f>
        <v>0.4024421593830334</v>
      </c>
      <c r="D131" s="30">
        <f>D79/'Inc Statement'!D16</f>
        <v>0.45447629398179595</v>
      </c>
      <c r="E131" s="30">
        <f>E79/'Inc Statement'!E16</f>
        <v>0.53408733137971953</v>
      </c>
      <c r="F131" s="30">
        <f>F79/'Inc Statement'!F16</f>
        <v>0.66453225050757458</v>
      </c>
      <c r="G131" s="30">
        <f>G79/'Inc Statement'!G16</f>
        <v>0.39545347464598352</v>
      </c>
      <c r="J131" s="32">
        <f>AVERAGE(B131:G131)</f>
        <v>0.51002693589238668</v>
      </c>
      <c r="K131" s="30">
        <f>STDEV(B131:G131)</f>
        <v>0.11141597634247401</v>
      </c>
    </row>
    <row r="132" spans="1:13" x14ac:dyDescent="0.15">
      <c r="C132" s="37"/>
      <c r="D132" s="37"/>
      <c r="E132" s="37"/>
      <c r="F132" s="37"/>
    </row>
    <row r="133" spans="1:13" x14ac:dyDescent="0.15">
      <c r="A133" s="51" t="s">
        <v>972</v>
      </c>
      <c r="B133" s="54">
        <f>'Inc Statement'!L16/'Inc Statement'!L19</f>
        <v>0.55418350705208719</v>
      </c>
      <c r="C133" s="54">
        <f>'Inc Statement'!M16/'Inc Statement'!M19</f>
        <v>0.27458434424231321</v>
      </c>
      <c r="D133" s="54">
        <f>'Inc Statement'!N16/'Inc Statement'!N19</f>
        <v>1.5703451302450138</v>
      </c>
      <c r="E133" s="54">
        <f>'Inc Statement'!O16/'Inc Statement'!O19</f>
        <v>2.5744666768949855</v>
      </c>
      <c r="F133" s="54">
        <f>'Inc Statement'!P16/'Inc Statement'!P19</f>
        <v>1.6604547386049207</v>
      </c>
      <c r="G133" s="265"/>
      <c r="J133" s="54">
        <f>AVERAGE(B133:F133)</f>
        <v>1.326806879407864</v>
      </c>
      <c r="K133" s="54">
        <f>STDEV(B133:F133)</f>
        <v>0.92620271577741498</v>
      </c>
    </row>
    <row r="134" spans="1:13" x14ac:dyDescent="0.15">
      <c r="C134" s="37"/>
    </row>
    <row r="135" spans="1:13" x14ac:dyDescent="0.15">
      <c r="A135" s="51" t="s">
        <v>1006</v>
      </c>
      <c r="B135" s="54">
        <f>(B10*3.3)+(('Inc Statement'!B16/'Bal. Sheet'!B54)*0.999)+(Ratios!B95/('Bal. Sheet'!B86*0.6))+((Ratios!B77/'Bal. Sheet'!B54)*1.2)+(('Bal. Sheet'!B92/'Bal. Sheet'!B54)*1.4)</f>
        <v>0.88157601449361156</v>
      </c>
      <c r="C135" s="54">
        <f>(C10*3.3)+(('Inc Statement'!C16/'Bal. Sheet'!C54)*0.999)+(Ratios!C95/('Bal. Sheet'!C86*0.6))+((Ratios!C77/'Bal. Sheet'!C54)*1.2)+(('Bal. Sheet'!C92/'Bal. Sheet'!C54)*1.4)</f>
        <v>1.2455533569680197</v>
      </c>
      <c r="D135" s="54">
        <f>(D10*3.3)+(('Inc Statement'!D16/'Bal. Sheet'!D54)*0.999)+(Ratios!D95/('Bal. Sheet'!D86*0.6))+((Ratios!D77/'Bal. Sheet'!D54)*1.2)+(('Bal. Sheet'!D92/'Bal. Sheet'!D54)*1.4)</f>
        <v>1.8860068970013857</v>
      </c>
      <c r="E135" s="54">
        <f>(E10*3.3)+(('Inc Statement'!E16/'Bal. Sheet'!E54)*0.999)+(Ratios!E95/('Bal. Sheet'!E86*0.6))+((Ratios!E77/'Bal. Sheet'!E54)*1.2)+(('Bal. Sheet'!E92/'Bal. Sheet'!E54)*1.4)</f>
        <v>2.5118916411652399</v>
      </c>
      <c r="F135" s="54">
        <f>(F10*3.3)+(('Inc Statement'!F16/'Bal. Sheet'!F54)*0.999)+(Ratios!F95/('Bal. Sheet'!F86*0.6))+((Ratios!F77/'Bal. Sheet'!F54)*1.2)+(('Bal. Sheet'!F92/'Bal. Sheet'!F54)*1.4)</f>
        <v>1.2951648292774027</v>
      </c>
      <c r="G135" s="54">
        <f>(G10*3.3)+(('Inc Statement'!G16/'Bal. Sheet'!G54)*0.999)+(Ratios!G95/('Bal. Sheet'!G86*0.6))+((Ratios!G77/'Bal. Sheet'!G54)*1.2)+(('Bal. Sheet'!G92/'Bal. Sheet'!G54)*1.4)</f>
        <v>3.2340641201171043</v>
      </c>
      <c r="J135" s="54">
        <f>AVERAGE(B135:G135)</f>
        <v>1.8423761431704608</v>
      </c>
      <c r="K135" s="54">
        <f>STDEV(B135:G135)</f>
        <v>0.89058684218456197</v>
      </c>
      <c r="L135" s="34" t="s">
        <v>1007</v>
      </c>
      <c r="M135" s="34"/>
    </row>
    <row r="136" spans="1:13" x14ac:dyDescent="0.15">
      <c r="C136" s="37"/>
      <c r="L136" s="34" t="s">
        <v>1008</v>
      </c>
      <c r="M136" s="34"/>
    </row>
    <row r="137" spans="1:13" x14ac:dyDescent="0.15">
      <c r="C137" s="37"/>
    </row>
  </sheetData>
  <conditionalFormatting sqref="N77:Q84 N88:P88 N86:Q87 M77:M79 M75:Q75 M81:M84 M86:M88 M90:Q92">
    <cfRule type="cellIs" dxfId="52" priority="16" operator="greaterThan">
      <formula>0</formula>
    </cfRule>
  </conditionalFormatting>
  <conditionalFormatting sqref="N77:Q84 N88:P88 N86:Q87 M77:M79 M75:Q75 M81:M84 M86:M88 M90:Q92">
    <cfRule type="cellIs" dxfId="51" priority="15" operator="lessThan">
      <formula>0</formula>
    </cfRule>
  </conditionalFormatting>
  <conditionalFormatting sqref="M76:Q76">
    <cfRule type="cellIs" dxfId="50" priority="13" operator="lessThan">
      <formula>-0.0049</formula>
    </cfRule>
    <cfRule type="cellIs" dxfId="49" priority="14" operator="greaterThan">
      <formula>0</formula>
    </cfRule>
  </conditionalFormatting>
  <conditionalFormatting sqref="M125:Q125">
    <cfRule type="cellIs" dxfId="48" priority="11" operator="greaterThan">
      <formula>0</formula>
    </cfRule>
    <cfRule type="cellIs" dxfId="47" priority="12" operator="lessThan">
      <formula>0</formula>
    </cfRule>
  </conditionalFormatting>
  <conditionalFormatting sqref="M126:Q126">
    <cfRule type="cellIs" dxfId="46" priority="9" operator="lessThan">
      <formula>0</formula>
    </cfRule>
    <cfRule type="cellIs" dxfId="45" priority="10" operator="greaterThan">
      <formula>0</formula>
    </cfRule>
  </conditionalFormatting>
  <conditionalFormatting sqref="M111:Q111">
    <cfRule type="cellIs" dxfId="44" priority="7" operator="lessThan">
      <formula>0</formula>
    </cfRule>
    <cfRule type="cellIs" dxfId="43" priority="8" operator="greaterThan">
      <formula>0</formula>
    </cfRule>
  </conditionalFormatting>
  <conditionalFormatting sqref="M95:Q95">
    <cfRule type="cellIs" dxfId="42" priority="5" operator="lessThan">
      <formula>0</formula>
    </cfRule>
    <cfRule type="cellIs" dxfId="41" priority="6" operator="greaterThan">
      <formula>0</formula>
    </cfRule>
  </conditionalFormatting>
  <conditionalFormatting sqref="M49:Q49">
    <cfRule type="cellIs" dxfId="40" priority="3" operator="lessThan">
      <formula>0</formula>
    </cfRule>
    <cfRule type="cellIs" dxfId="39" priority="4" operator="greaterThan">
      <formula>0</formula>
    </cfRule>
  </conditionalFormatting>
  <conditionalFormatting sqref="M128:Q128">
    <cfRule type="cellIs" dxfId="38" priority="1" operator="lessThan">
      <formula>0</formula>
    </cfRule>
    <cfRule type="cellIs" dxfId="37" priority="2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2AF39-4A26-48CA-9127-6871D228A191}">
  <dimension ref="A1:J8"/>
  <sheetViews>
    <sheetView workbookViewId="0">
      <selection activeCell="K8" sqref="K8"/>
    </sheetView>
  </sheetViews>
  <sheetFormatPr baseColWidth="10" defaultColWidth="8.83203125" defaultRowHeight="13" x14ac:dyDescent="0.15"/>
  <cols>
    <col min="1" max="1" width="17.5" bestFit="1" customWidth="1"/>
    <col min="2" max="2" width="17.5" customWidth="1"/>
    <col min="3" max="3" width="10.83203125" customWidth="1"/>
    <col min="4" max="4" width="10.5" customWidth="1"/>
    <col min="5" max="5" width="11" customWidth="1"/>
    <col min="6" max="6" width="10.1640625" customWidth="1"/>
    <col min="7" max="7" width="10.33203125" customWidth="1"/>
  </cols>
  <sheetData>
    <row r="1" spans="1:10" x14ac:dyDescent="0.15">
      <c r="D1" s="35" t="s">
        <v>320</v>
      </c>
    </row>
    <row r="4" spans="1:10" x14ac:dyDescent="0.15">
      <c r="B4" s="35">
        <v>2020</v>
      </c>
      <c r="C4" s="35">
        <v>2019</v>
      </c>
      <c r="D4" s="35">
        <v>2018</v>
      </c>
      <c r="E4" s="35">
        <v>2017</v>
      </c>
      <c r="F4" s="35">
        <v>2016</v>
      </c>
      <c r="G4" s="35">
        <v>2015</v>
      </c>
    </row>
    <row r="5" spans="1:10" x14ac:dyDescent="0.15">
      <c r="A5" s="51" t="s">
        <v>316</v>
      </c>
      <c r="B5" s="104">
        <f>Ratios!B98</f>
        <v>-0.09</v>
      </c>
      <c r="C5" s="104">
        <f>Ratios!C98</f>
        <v>-0.86</v>
      </c>
      <c r="D5" s="104">
        <f>Ratios!D98</f>
        <v>-1.33</v>
      </c>
      <c r="E5" s="104">
        <f>Ratios!E98</f>
        <v>2.15</v>
      </c>
      <c r="F5" s="104">
        <f>Ratios!F98</f>
        <v>0.09</v>
      </c>
      <c r="G5" s="104">
        <f>Ratios!G98</f>
        <v>0.33</v>
      </c>
    </row>
    <row r="6" spans="1:10" x14ac:dyDescent="0.15">
      <c r="A6" s="51" t="s">
        <v>317</v>
      </c>
      <c r="B6" s="104">
        <v>0</v>
      </c>
      <c r="C6" s="104" cm="1">
        <f t="array" ref="C6:G6">Ratios!C103:G103</f>
        <v>0</v>
      </c>
      <c r="D6" s="52">
        <v>0.18</v>
      </c>
      <c r="E6" s="52">
        <v>0.09</v>
      </c>
      <c r="F6" s="52">
        <v>0.09</v>
      </c>
      <c r="G6" s="52">
        <v>0.34</v>
      </c>
      <c r="I6" s="35" t="s">
        <v>321</v>
      </c>
      <c r="J6" s="64" t="str">
        <f>Ratios!K110</f>
        <v>σ</v>
      </c>
    </row>
    <row r="7" spans="1:10" x14ac:dyDescent="0.15">
      <c r="A7" s="51" t="s">
        <v>318</v>
      </c>
      <c r="B7" s="30">
        <f t="shared" ref="B7:G7" si="0">B6/B5</f>
        <v>0</v>
      </c>
      <c r="C7" s="30">
        <f t="shared" si="0"/>
        <v>0</v>
      </c>
      <c r="D7" s="30">
        <f t="shared" si="0"/>
        <v>-0.13533834586466165</v>
      </c>
      <c r="E7" s="30">
        <f t="shared" si="0"/>
        <v>4.1860465116279069E-2</v>
      </c>
      <c r="F7" s="30">
        <f t="shared" si="0"/>
        <v>1</v>
      </c>
      <c r="G7" s="30">
        <f t="shared" si="0"/>
        <v>1.0303030303030303</v>
      </c>
      <c r="I7" s="32">
        <f>AVERAGE(B7:G7)</f>
        <v>0.32280419159244128</v>
      </c>
      <c r="J7" s="30">
        <f>STDEV(B7:G7)</f>
        <v>0.53969951343221423</v>
      </c>
    </row>
    <row r="8" spans="1:10" x14ac:dyDescent="0.15">
      <c r="A8" s="51" t="s">
        <v>319</v>
      </c>
      <c r="B8" s="32">
        <f t="shared" ref="B8:G8" si="1">1-B7</f>
        <v>1</v>
      </c>
      <c r="C8" s="32">
        <f t="shared" si="1"/>
        <v>1</v>
      </c>
      <c r="D8" s="32">
        <f t="shared" si="1"/>
        <v>1.1353383458646618</v>
      </c>
      <c r="E8" s="32">
        <f t="shared" si="1"/>
        <v>0.95813953488372094</v>
      </c>
      <c r="F8" s="32">
        <f t="shared" si="1"/>
        <v>0</v>
      </c>
      <c r="G8" s="32">
        <f t="shared" si="1"/>
        <v>-3.0303030303030276E-2</v>
      </c>
      <c r="I8" s="32">
        <f>AVERAGE(B8:G8)</f>
        <v>0.67719580840755877</v>
      </c>
      <c r="J8" s="30">
        <f>STDEV(B8:G8)</f>
        <v>0.53969951343221423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42A50D-8CF5-4563-BE6E-87B1DCBA7AE5}">
  <sheetPr>
    <pageSetUpPr fitToPage="1"/>
  </sheetPr>
  <dimension ref="A1:J111"/>
  <sheetViews>
    <sheetView workbookViewId="0">
      <selection activeCell="F65" sqref="F65"/>
    </sheetView>
  </sheetViews>
  <sheetFormatPr baseColWidth="10" defaultColWidth="8.83203125" defaultRowHeight="13" x14ac:dyDescent="0.15"/>
  <cols>
    <col min="1" max="1" width="20.83203125" style="105" customWidth="1"/>
    <col min="2" max="2" width="15.1640625" style="105" bestFit="1" customWidth="1"/>
    <col min="3" max="3" width="16.1640625" style="105" bestFit="1" customWidth="1"/>
    <col min="4" max="4" width="14.83203125" style="105" bestFit="1" customWidth="1"/>
    <col min="5" max="5" width="16.1640625" style="105" bestFit="1" customWidth="1"/>
    <col min="6" max="6" width="13.83203125" style="105" bestFit="1" customWidth="1"/>
    <col min="7" max="7" width="16.1640625" style="105" bestFit="1" customWidth="1"/>
    <col min="8" max="8" width="15.1640625" style="105" bestFit="1" customWidth="1"/>
    <col min="9" max="9" width="13.1640625" style="105" bestFit="1" customWidth="1"/>
    <col min="10" max="10" width="12.5" style="105" bestFit="1" customWidth="1"/>
    <col min="11" max="16384" width="8.83203125" style="105"/>
  </cols>
  <sheetData>
    <row r="1" spans="1:7" x14ac:dyDescent="0.15">
      <c r="A1" s="121" t="s">
        <v>685</v>
      </c>
    </row>
    <row r="2" spans="1:7" x14ac:dyDescent="0.15">
      <c r="A2" s="105" t="s">
        <v>686</v>
      </c>
      <c r="B2" s="123">
        <f>C46</f>
        <v>596611.63415937277</v>
      </c>
    </row>
    <row r="3" spans="1:7" x14ac:dyDescent="0.15">
      <c r="A3" s="105" t="s">
        <v>687</v>
      </c>
      <c r="B3" s="123">
        <f>C79</f>
        <v>2558599.8176476215</v>
      </c>
    </row>
    <row r="4" spans="1:7" x14ac:dyDescent="0.15">
      <c r="A4" s="105" t="s">
        <v>688</v>
      </c>
      <c r="B4" s="123">
        <f>C101</f>
        <v>1961988.1834882486</v>
      </c>
    </row>
    <row r="5" spans="1:7" x14ac:dyDescent="0.15">
      <c r="A5" s="105" t="s">
        <v>689</v>
      </c>
      <c r="B5" s="141">
        <f>'Sustainable Growth Rate'!D21</f>
        <v>-2.8711328733585579E-2</v>
      </c>
    </row>
    <row r="6" spans="1:7" x14ac:dyDescent="0.15">
      <c r="A6" s="105" t="s">
        <v>799</v>
      </c>
      <c r="B6" s="13">
        <f>'Segment Revenues'!I30</f>
        <v>6.8639595763287042E-2</v>
      </c>
    </row>
    <row r="7" spans="1:7" x14ac:dyDescent="0.15">
      <c r="B7" s="13"/>
    </row>
    <row r="8" spans="1:7" ht="15" x14ac:dyDescent="0.2">
      <c r="D8" s="142" t="s">
        <v>690</v>
      </c>
    </row>
    <row r="10" spans="1:7" x14ac:dyDescent="0.15">
      <c r="A10" s="105" t="s">
        <v>691</v>
      </c>
      <c r="C10" s="105" t="s">
        <v>692</v>
      </c>
      <c r="E10" s="105" t="s">
        <v>693</v>
      </c>
      <c r="G10" s="105" t="s">
        <v>693</v>
      </c>
    </row>
    <row r="11" spans="1:7" x14ac:dyDescent="0.15">
      <c r="A11" s="105" t="s">
        <v>694</v>
      </c>
      <c r="B11" s="143" t="s">
        <v>695</v>
      </c>
      <c r="C11" s="105" t="s">
        <v>696</v>
      </c>
      <c r="D11" s="144" t="s">
        <v>24</v>
      </c>
      <c r="E11" s="105" t="s">
        <v>697</v>
      </c>
      <c r="F11" s="144" t="s">
        <v>24</v>
      </c>
      <c r="G11" s="105" t="s">
        <v>698</v>
      </c>
    </row>
    <row r="12" spans="1:7" x14ac:dyDescent="0.15">
      <c r="A12" s="105" t="s">
        <v>699</v>
      </c>
      <c r="C12" s="105" t="s">
        <v>700</v>
      </c>
      <c r="E12" s="105" t="s">
        <v>701</v>
      </c>
      <c r="G12" s="105" t="s">
        <v>702</v>
      </c>
    </row>
    <row r="15" spans="1:7" ht="15" x14ac:dyDescent="0.2">
      <c r="A15" s="105" t="s">
        <v>703</v>
      </c>
      <c r="B15" s="143" t="s">
        <v>695</v>
      </c>
      <c r="C15" s="105" t="s">
        <v>704</v>
      </c>
      <c r="D15" s="143" t="s">
        <v>24</v>
      </c>
      <c r="E15" s="105" t="s">
        <v>705</v>
      </c>
      <c r="F15" s="143" t="s">
        <v>24</v>
      </c>
      <c r="G15" s="105" t="s">
        <v>706</v>
      </c>
    </row>
    <row r="17" spans="1:10" ht="15" x14ac:dyDescent="0.2">
      <c r="A17" s="145" t="s">
        <v>707</v>
      </c>
    </row>
    <row r="18" spans="1:10" x14ac:dyDescent="0.15">
      <c r="A18" s="105" t="str">
        <f>C15</f>
        <v>(Ao / So)ΔS</v>
      </c>
      <c r="B18" s="146" t="s">
        <v>695</v>
      </c>
      <c r="C18" s="147">
        <f>'Bal. Sheet'!C54</f>
        <v>7951200</v>
      </c>
      <c r="D18" s="143" t="s">
        <v>708</v>
      </c>
      <c r="E18" s="148">
        <f>'Inc Statement'!C16</f>
        <v>3890000</v>
      </c>
      <c r="F18" s="143" t="s">
        <v>709</v>
      </c>
      <c r="G18" s="149">
        <f>('Inc Statement'!C16-'Inc Statement'!D16)</f>
        <v>209500</v>
      </c>
    </row>
    <row r="19" spans="1:10" x14ac:dyDescent="0.15">
      <c r="D19" s="105">
        <f>C18/E18</f>
        <v>2.0440102827763496</v>
      </c>
      <c r="F19" s="143" t="s">
        <v>709</v>
      </c>
      <c r="G19" s="150">
        <f>G18</f>
        <v>209500</v>
      </c>
    </row>
    <row r="20" spans="1:10" x14ac:dyDescent="0.15">
      <c r="A20" s="105" t="str">
        <f>A18</f>
        <v>(Ao / So)ΔS</v>
      </c>
      <c r="B20" s="143" t="s">
        <v>695</v>
      </c>
      <c r="F20" s="150">
        <f>D19*G19</f>
        <v>428220.15424164524</v>
      </c>
    </row>
    <row r="21" spans="1:10" x14ac:dyDescent="0.15">
      <c r="A21" s="105" t="str">
        <f>A20</f>
        <v>(Ao / So)ΔS</v>
      </c>
      <c r="B21" s="143" t="s">
        <v>695</v>
      </c>
      <c r="C21" s="11">
        <f>F20</f>
        <v>428220.15424164524</v>
      </c>
    </row>
    <row r="23" spans="1:10" ht="15" x14ac:dyDescent="0.2">
      <c r="A23" s="145" t="s">
        <v>710</v>
      </c>
    </row>
    <row r="24" spans="1:10" x14ac:dyDescent="0.15">
      <c r="A24" s="105" t="s">
        <v>711</v>
      </c>
      <c r="B24" s="143" t="s">
        <v>695</v>
      </c>
      <c r="C24" s="151">
        <f>'Bal. Sheet'!C56+'Bal. Sheet'!C57</f>
        <v>968800</v>
      </c>
    </row>
    <row r="25" spans="1:10" x14ac:dyDescent="0.15">
      <c r="A25" s="105" t="str">
        <f>E15</f>
        <v>(Lo/So)ΔS</v>
      </c>
      <c r="B25" s="152" t="s">
        <v>695</v>
      </c>
      <c r="C25" s="153">
        <f>C24</f>
        <v>968800</v>
      </c>
      <c r="D25" s="143" t="s">
        <v>708</v>
      </c>
      <c r="E25" s="154">
        <f>E18</f>
        <v>3890000</v>
      </c>
      <c r="F25" s="143" t="s">
        <v>709</v>
      </c>
      <c r="G25" s="150">
        <f>G18</f>
        <v>209500</v>
      </c>
    </row>
    <row r="26" spans="1:10" x14ac:dyDescent="0.15">
      <c r="C26" s="123"/>
      <c r="D26" s="105">
        <f>C25/E25</f>
        <v>0.24904884318766066</v>
      </c>
      <c r="F26" s="143" t="s">
        <v>709</v>
      </c>
      <c r="G26" s="150">
        <f>G25</f>
        <v>209500</v>
      </c>
    </row>
    <row r="27" spans="1:10" x14ac:dyDescent="0.15">
      <c r="A27" s="105" t="str">
        <f>A25</f>
        <v>(Lo/So)ΔS</v>
      </c>
      <c r="B27" s="143" t="s">
        <v>695</v>
      </c>
      <c r="F27" s="150">
        <f>D26*G26</f>
        <v>52175.732647814904</v>
      </c>
    </row>
    <row r="28" spans="1:10" x14ac:dyDescent="0.15">
      <c r="A28" s="105" t="str">
        <f>A27</f>
        <v>(Lo/So)ΔS</v>
      </c>
      <c r="B28" s="143" t="s">
        <v>695</v>
      </c>
      <c r="C28" s="150">
        <f>F27</f>
        <v>52175.732647814904</v>
      </c>
    </row>
    <row r="30" spans="1:10" ht="15" x14ac:dyDescent="0.2">
      <c r="A30" s="145" t="s">
        <v>712</v>
      </c>
    </row>
    <row r="31" spans="1:10" x14ac:dyDescent="0.15">
      <c r="A31" s="105" t="s">
        <v>713</v>
      </c>
      <c r="B31" s="144" t="s">
        <v>695</v>
      </c>
      <c r="C31" s="13">
        <f>Ratios!C8</f>
        <v>-5.305912596401028E-2</v>
      </c>
      <c r="G31" s="105" t="s">
        <v>714</v>
      </c>
    </row>
    <row r="32" spans="1:10" x14ac:dyDescent="0.15">
      <c r="A32" s="105" t="s">
        <v>715</v>
      </c>
      <c r="B32" s="143" t="s">
        <v>695</v>
      </c>
      <c r="C32" s="155">
        <f>Ratios!C107</f>
        <v>1</v>
      </c>
      <c r="D32" s="143" t="s">
        <v>716</v>
      </c>
      <c r="E32" s="13">
        <f>C32</f>
        <v>1</v>
      </c>
      <c r="G32" s="156" t="s">
        <v>717</v>
      </c>
      <c r="H32" s="151">
        <v>0</v>
      </c>
      <c r="I32" s="143" t="s">
        <v>708</v>
      </c>
      <c r="J32" s="157">
        <f>Ratios!C90</f>
        <v>-206400</v>
      </c>
    </row>
    <row r="33" spans="1:10" x14ac:dyDescent="0.15">
      <c r="A33" s="105" t="s">
        <v>718</v>
      </c>
      <c r="B33" s="143"/>
      <c r="C33" s="155"/>
      <c r="E33" s="13"/>
      <c r="G33" s="105" t="s">
        <v>717</v>
      </c>
      <c r="H33" s="158">
        <f>H32/J32</f>
        <v>0</v>
      </c>
      <c r="I33" s="105" t="s">
        <v>695</v>
      </c>
      <c r="J33" s="13">
        <f>1-H33</f>
        <v>1</v>
      </c>
    </row>
    <row r="35" spans="1:10" x14ac:dyDescent="0.15">
      <c r="A35" s="105" t="s">
        <v>719</v>
      </c>
      <c r="B35" s="143" t="s">
        <v>695</v>
      </c>
      <c r="C35" s="153">
        <f>E18</f>
        <v>3890000</v>
      </c>
      <c r="D35" s="143" t="s">
        <v>709</v>
      </c>
      <c r="E35" s="141">
        <f>(1+B6)</f>
        <v>1.068639595763287</v>
      </c>
      <c r="F35" s="144" t="s">
        <v>695</v>
      </c>
      <c r="G35" s="123">
        <f>C35*E35</f>
        <v>4157008.0275191865</v>
      </c>
    </row>
    <row r="36" spans="1:10" x14ac:dyDescent="0.15">
      <c r="A36" s="105" t="str">
        <f>G15</f>
        <v>M x So(1+g) x RR</v>
      </c>
      <c r="B36" s="143" t="s">
        <v>695</v>
      </c>
      <c r="C36" s="141">
        <f>C31</f>
        <v>-5.305912596401028E-2</v>
      </c>
      <c r="D36" s="143" t="s">
        <v>709</v>
      </c>
      <c r="E36" s="123">
        <f>G35</f>
        <v>4157008.0275191865</v>
      </c>
      <c r="F36" s="143" t="s">
        <v>709</v>
      </c>
      <c r="G36" s="13">
        <f>E32</f>
        <v>1</v>
      </c>
    </row>
    <row r="37" spans="1:10" x14ac:dyDescent="0.15">
      <c r="A37" s="105" t="str">
        <f>A36</f>
        <v>M x So(1+g) x RR</v>
      </c>
      <c r="B37" s="144" t="s">
        <v>695</v>
      </c>
      <c r="C37" s="123">
        <f>C36*E36*G36</f>
        <v>-220567.21256554243</v>
      </c>
    </row>
    <row r="39" spans="1:10" ht="15" x14ac:dyDescent="0.2">
      <c r="A39" s="145" t="s">
        <v>720</v>
      </c>
    </row>
    <row r="40" spans="1:10" x14ac:dyDescent="0.15">
      <c r="A40" s="105" t="str">
        <f>A21</f>
        <v>(Ao / So)ΔS</v>
      </c>
      <c r="B40" s="143" t="str">
        <f>B21</f>
        <v>=</v>
      </c>
      <c r="C40" s="123">
        <f>C21</f>
        <v>428220.15424164524</v>
      </c>
    </row>
    <row r="41" spans="1:10" x14ac:dyDescent="0.15">
      <c r="A41" s="105" t="str">
        <f>A28</f>
        <v>(Lo/So)ΔS</v>
      </c>
      <c r="B41" s="143" t="str">
        <f>B28</f>
        <v>=</v>
      </c>
      <c r="C41" s="123">
        <f>C28</f>
        <v>52175.732647814904</v>
      </c>
    </row>
    <row r="42" spans="1:10" x14ac:dyDescent="0.15">
      <c r="A42" s="105" t="str">
        <f>A37</f>
        <v>M x So(1+g) x RR</v>
      </c>
      <c r="B42" s="143" t="str">
        <f>B37</f>
        <v>=</v>
      </c>
      <c r="C42" s="123">
        <f>C37</f>
        <v>-220567.21256554243</v>
      </c>
      <c r="G42" s="141"/>
      <c r="H42" s="123"/>
      <c r="I42" s="123"/>
    </row>
    <row r="43" spans="1:10" x14ac:dyDescent="0.15">
      <c r="I43" s="123"/>
    </row>
    <row r="44" spans="1:10" x14ac:dyDescent="0.15">
      <c r="A44" s="105" t="str">
        <f>A15</f>
        <v xml:space="preserve">AFN </v>
      </c>
      <c r="B44" s="105" t="str">
        <f t="shared" ref="B44:G44" si="0">B15</f>
        <v>=</v>
      </c>
      <c r="C44" s="105" t="str">
        <f t="shared" si="0"/>
        <v>(Ao / So)ΔS</v>
      </c>
      <c r="D44" s="143" t="str">
        <f t="shared" si="0"/>
        <v>-</v>
      </c>
      <c r="E44" s="105" t="str">
        <f t="shared" si="0"/>
        <v>(Lo/So)ΔS</v>
      </c>
      <c r="F44" s="143" t="str">
        <f t="shared" si="0"/>
        <v>-</v>
      </c>
      <c r="G44" s="105" t="str">
        <f t="shared" si="0"/>
        <v>M x So(1+g) x RR</v>
      </c>
    </row>
    <row r="45" spans="1:10" x14ac:dyDescent="0.15">
      <c r="A45" s="105" t="s">
        <v>686</v>
      </c>
      <c r="B45" s="159" t="s">
        <v>695</v>
      </c>
      <c r="C45" s="123">
        <f>C40</f>
        <v>428220.15424164524</v>
      </c>
      <c r="D45" s="144" t="s">
        <v>24</v>
      </c>
      <c r="E45" s="123">
        <f>C41</f>
        <v>52175.732647814904</v>
      </c>
      <c r="F45" s="143" t="s">
        <v>24</v>
      </c>
      <c r="G45" s="123">
        <f>C42</f>
        <v>-220567.21256554243</v>
      </c>
    </row>
    <row r="46" spans="1:10" ht="15" x14ac:dyDescent="0.2">
      <c r="A46" s="145" t="str">
        <f>A45</f>
        <v>AFN</v>
      </c>
      <c r="B46" s="160" t="s">
        <v>695</v>
      </c>
      <c r="C46" s="161">
        <f>C45-E45-G45</f>
        <v>596611.63415937277</v>
      </c>
    </row>
    <row r="47" spans="1:10" x14ac:dyDescent="0.15">
      <c r="C47" s="123"/>
    </row>
    <row r="49" spans="1:7" ht="15" x14ac:dyDescent="0.2">
      <c r="D49" s="142" t="s">
        <v>721</v>
      </c>
    </row>
    <row r="51" spans="1:7" x14ac:dyDescent="0.15">
      <c r="A51" s="105" t="s">
        <v>722</v>
      </c>
      <c r="C51" s="105" t="s">
        <v>693</v>
      </c>
      <c r="E51" s="105" t="s">
        <v>693</v>
      </c>
    </row>
    <row r="52" spans="1:7" x14ac:dyDescent="0.15">
      <c r="A52" s="105" t="s">
        <v>694</v>
      </c>
      <c r="B52" s="143" t="s">
        <v>695</v>
      </c>
      <c r="C52" s="105" t="s">
        <v>723</v>
      </c>
      <c r="D52" s="144" t="s">
        <v>24</v>
      </c>
      <c r="E52" s="105" t="s">
        <v>697</v>
      </c>
      <c r="F52" s="144"/>
    </row>
    <row r="53" spans="1:7" x14ac:dyDescent="0.15">
      <c r="A53" s="105" t="s">
        <v>699</v>
      </c>
      <c r="E53" s="105" t="s">
        <v>701</v>
      </c>
    </row>
    <row r="55" spans="1:7" x14ac:dyDescent="0.15">
      <c r="A55" s="105" t="s">
        <v>687</v>
      </c>
      <c r="B55" s="105" t="str">
        <f>B15</f>
        <v>=</v>
      </c>
      <c r="C55" s="105" t="str">
        <f>C15</f>
        <v>(Ao / So)ΔS</v>
      </c>
      <c r="D55" s="143" t="s">
        <v>724</v>
      </c>
      <c r="E55" s="105" t="s">
        <v>725</v>
      </c>
      <c r="F55" s="143" t="s">
        <v>24</v>
      </c>
      <c r="G55" s="105" t="str">
        <f>E15</f>
        <v>(Lo/So)ΔS</v>
      </c>
    </row>
    <row r="57" spans="1:7" x14ac:dyDescent="0.15">
      <c r="A57" s="121" t="s">
        <v>726</v>
      </c>
    </row>
    <row r="58" spans="1:7" x14ac:dyDescent="0.15">
      <c r="A58" s="105" t="str">
        <f>A18</f>
        <v>(Ao / So)ΔS</v>
      </c>
      <c r="B58" s="143" t="str">
        <f>B18</f>
        <v>=</v>
      </c>
      <c r="C58" s="162">
        <f>C18</f>
        <v>7951200</v>
      </c>
      <c r="D58" s="143" t="str">
        <f>D18</f>
        <v>/</v>
      </c>
      <c r="E58" s="162">
        <f>E18</f>
        <v>3890000</v>
      </c>
      <c r="F58" s="143" t="s">
        <v>709</v>
      </c>
      <c r="G58" s="150">
        <f>G25</f>
        <v>209500</v>
      </c>
    </row>
    <row r="59" spans="1:7" x14ac:dyDescent="0.15">
      <c r="D59" s="105">
        <f>C58/E58</f>
        <v>2.0440102827763496</v>
      </c>
      <c r="F59" s="143" t="s">
        <v>709</v>
      </c>
      <c r="G59" s="150">
        <f>G58</f>
        <v>209500</v>
      </c>
    </row>
    <row r="60" spans="1:7" x14ac:dyDescent="0.15">
      <c r="A60" s="105" t="str">
        <f>A20</f>
        <v>(Ao / So)ΔS</v>
      </c>
      <c r="B60" s="143" t="s">
        <v>695</v>
      </c>
      <c r="F60" s="150">
        <f>D59*G59</f>
        <v>428220.15424164524</v>
      </c>
    </row>
    <row r="61" spans="1:7" x14ac:dyDescent="0.15">
      <c r="A61" s="105" t="str">
        <f>A21</f>
        <v>(Ao / So)ΔS</v>
      </c>
      <c r="B61" s="143" t="s">
        <v>695</v>
      </c>
      <c r="C61" s="150">
        <f>F60</f>
        <v>428220.15424164524</v>
      </c>
    </row>
    <row r="62" spans="1:7" x14ac:dyDescent="0.15">
      <c r="B62" s="143"/>
      <c r="C62" s="150"/>
    </row>
    <row r="63" spans="1:7" x14ac:dyDescent="0.15">
      <c r="A63" s="121" t="s">
        <v>727</v>
      </c>
      <c r="B63" s="143"/>
      <c r="C63" s="150"/>
    </row>
    <row r="64" spans="1:7" x14ac:dyDescent="0.15">
      <c r="A64" s="105" t="s">
        <v>728</v>
      </c>
      <c r="B64" s="143" t="s">
        <v>695</v>
      </c>
      <c r="C64" s="150">
        <f>C61</f>
        <v>428220.15424164524</v>
      </c>
      <c r="D64" s="143" t="s">
        <v>724</v>
      </c>
      <c r="E64" s="105" t="str">
        <f>E55</f>
        <v>Depr. t+1</v>
      </c>
    </row>
    <row r="65" spans="1:7" x14ac:dyDescent="0.15">
      <c r="C65" s="150">
        <f>C64</f>
        <v>428220.15424164524</v>
      </c>
      <c r="D65" s="143" t="s">
        <v>724</v>
      </c>
      <c r="E65" s="167">
        <f>('Cash Flow'!C19+'Cash Flow'!C20)*(1+'Cash Flow'!I20)</f>
        <v>2182555.396053791</v>
      </c>
    </row>
    <row r="66" spans="1:7" x14ac:dyDescent="0.15">
      <c r="A66" s="105" t="str">
        <f>A64</f>
        <v>(Ao / So)ΔS + Depr. t+1</v>
      </c>
      <c r="B66" s="143" t="s">
        <v>695</v>
      </c>
      <c r="D66" s="150">
        <f>C65+E65</f>
        <v>2610775.5502954363</v>
      </c>
    </row>
    <row r="69" spans="1:7" x14ac:dyDescent="0.15">
      <c r="A69" s="121" t="s">
        <v>710</v>
      </c>
    </row>
    <row r="70" spans="1:7" x14ac:dyDescent="0.15">
      <c r="A70" s="105" t="str">
        <f>A24</f>
        <v>Lo</v>
      </c>
      <c r="B70" s="143" t="s">
        <v>695</v>
      </c>
      <c r="C70" s="153">
        <f>C24</f>
        <v>968800</v>
      </c>
    </row>
    <row r="71" spans="1:7" x14ac:dyDescent="0.15">
      <c r="A71" s="105" t="str">
        <f>A25</f>
        <v>(Lo/So)ΔS</v>
      </c>
      <c r="B71" s="143" t="str">
        <f t="shared" ref="B71:G71" si="1">B25</f>
        <v>=</v>
      </c>
      <c r="C71" s="151">
        <f t="shared" si="1"/>
        <v>968800</v>
      </c>
      <c r="D71" s="143" t="str">
        <f t="shared" si="1"/>
        <v>/</v>
      </c>
      <c r="E71" s="151">
        <f t="shared" si="1"/>
        <v>3890000</v>
      </c>
      <c r="F71" s="143" t="str">
        <f t="shared" si="1"/>
        <v>x</v>
      </c>
      <c r="G71" s="11">
        <f t="shared" si="1"/>
        <v>209500</v>
      </c>
    </row>
    <row r="72" spans="1:7" x14ac:dyDescent="0.15">
      <c r="D72" s="105">
        <f>C71/E71</f>
        <v>0.24904884318766066</v>
      </c>
      <c r="F72" s="143" t="s">
        <v>709</v>
      </c>
      <c r="G72" s="123">
        <f>G71</f>
        <v>209500</v>
      </c>
    </row>
    <row r="73" spans="1:7" x14ac:dyDescent="0.15">
      <c r="A73" s="105" t="str">
        <f>A71</f>
        <v>(Lo/So)ΔS</v>
      </c>
      <c r="B73" s="143" t="s">
        <v>695</v>
      </c>
      <c r="F73" s="123">
        <f>D72*G72</f>
        <v>52175.732647814904</v>
      </c>
    </row>
    <row r="74" spans="1:7" x14ac:dyDescent="0.15">
      <c r="A74" s="105" t="str">
        <f>A73</f>
        <v>(Lo/So)ΔS</v>
      </c>
      <c r="B74" s="143" t="s">
        <v>695</v>
      </c>
      <c r="C74" s="123">
        <f>F73</f>
        <v>52175.732647814904</v>
      </c>
    </row>
    <row r="77" spans="1:7" x14ac:dyDescent="0.15">
      <c r="A77" s="105" t="str">
        <f>A55</f>
        <v>TFN</v>
      </c>
      <c r="B77" s="105" t="str">
        <f t="shared" ref="B77:G77" si="2">B55</f>
        <v>=</v>
      </c>
      <c r="C77" s="105" t="str">
        <f t="shared" si="2"/>
        <v>(Ao / So)ΔS</v>
      </c>
      <c r="D77" s="143" t="str">
        <f t="shared" si="2"/>
        <v>+</v>
      </c>
      <c r="E77" s="105" t="str">
        <f t="shared" si="2"/>
        <v>Depr. t+1</v>
      </c>
      <c r="F77" s="143" t="str">
        <f t="shared" si="2"/>
        <v>-</v>
      </c>
      <c r="G77" s="105" t="str">
        <f t="shared" si="2"/>
        <v>(Lo/So)ΔS</v>
      </c>
    </row>
    <row r="78" spans="1:7" x14ac:dyDescent="0.15">
      <c r="A78" s="105" t="s">
        <v>687</v>
      </c>
      <c r="B78" s="105" t="s">
        <v>695</v>
      </c>
      <c r="C78" s="150">
        <f>C61</f>
        <v>428220.15424164524</v>
      </c>
      <c r="D78" s="143" t="s">
        <v>724</v>
      </c>
      <c r="E78" s="153">
        <f>E65</f>
        <v>2182555.396053791</v>
      </c>
      <c r="F78" s="143" t="s">
        <v>24</v>
      </c>
      <c r="G78" s="123">
        <f>C74</f>
        <v>52175.732647814904</v>
      </c>
    </row>
    <row r="79" spans="1:7" x14ac:dyDescent="0.15">
      <c r="A79" s="105" t="s">
        <v>687</v>
      </c>
      <c r="B79" s="105" t="s">
        <v>695</v>
      </c>
      <c r="C79" s="11">
        <f>C78+E78-G78</f>
        <v>2558599.8176476215</v>
      </c>
    </row>
    <row r="81" spans="1:10" x14ac:dyDescent="0.15">
      <c r="D81" s="163" t="s">
        <v>729</v>
      </c>
    </row>
    <row r="82" spans="1:10" x14ac:dyDescent="0.15">
      <c r="D82" s="163"/>
    </row>
    <row r="83" spans="1:10" x14ac:dyDescent="0.15">
      <c r="A83" s="105" t="s">
        <v>730</v>
      </c>
      <c r="B83" s="291" t="s">
        <v>695</v>
      </c>
    </row>
    <row r="84" spans="1:10" x14ac:dyDescent="0.15">
      <c r="A84" s="105" t="s">
        <v>731</v>
      </c>
      <c r="B84" s="291"/>
      <c r="C84" s="105" t="s">
        <v>732</v>
      </c>
    </row>
    <row r="86" spans="1:10" x14ac:dyDescent="0.15">
      <c r="A86" s="105" t="s">
        <v>688</v>
      </c>
      <c r="B86" s="109" t="s">
        <v>695</v>
      </c>
      <c r="C86" s="105" t="str">
        <f>G15</f>
        <v>M x So(1+g) x RR</v>
      </c>
      <c r="D86" s="143" t="s">
        <v>724</v>
      </c>
      <c r="E86" s="105" t="str">
        <f>E64</f>
        <v>Depr. t+1</v>
      </c>
    </row>
    <row r="88" spans="1:10" x14ac:dyDescent="0.15">
      <c r="A88" s="121" t="s">
        <v>732</v>
      </c>
    </row>
    <row r="89" spans="1:10" x14ac:dyDescent="0.15">
      <c r="A89" s="105" t="s">
        <v>713</v>
      </c>
      <c r="B89" s="144" t="s">
        <v>695</v>
      </c>
      <c r="C89" s="13">
        <f>C31</f>
        <v>-5.305912596401028E-2</v>
      </c>
      <c r="G89" s="105" t="s">
        <v>714</v>
      </c>
    </row>
    <row r="90" spans="1:10" x14ac:dyDescent="0.15">
      <c r="A90" s="105" t="s">
        <v>715</v>
      </c>
      <c r="B90" s="143" t="s">
        <v>695</v>
      </c>
      <c r="C90" s="158">
        <f>C32</f>
        <v>1</v>
      </c>
      <c r="D90" s="143" t="s">
        <v>716</v>
      </c>
      <c r="E90" s="13">
        <f>C90</f>
        <v>1</v>
      </c>
      <c r="G90" s="156" t="s">
        <v>717</v>
      </c>
      <c r="H90" s="151">
        <f>H32</f>
        <v>0</v>
      </c>
      <c r="I90" s="143" t="s">
        <v>708</v>
      </c>
      <c r="J90" s="157">
        <f>J32</f>
        <v>-206400</v>
      </c>
    </row>
    <row r="91" spans="1:10" x14ac:dyDescent="0.15">
      <c r="A91" s="105" t="s">
        <v>718</v>
      </c>
      <c r="B91" s="143"/>
      <c r="C91" s="155"/>
      <c r="E91" s="13"/>
      <c r="G91" s="105" t="s">
        <v>717</v>
      </c>
      <c r="H91" s="158">
        <f>H90/J90</f>
        <v>0</v>
      </c>
      <c r="I91" s="105" t="s">
        <v>695</v>
      </c>
      <c r="J91" s="13">
        <f>1-H91</f>
        <v>1</v>
      </c>
    </row>
    <row r="93" spans="1:10" x14ac:dyDescent="0.15">
      <c r="A93" s="105" t="str">
        <f t="shared" ref="A93:F93" si="3">A35</f>
        <v>So (1+g)</v>
      </c>
      <c r="B93" s="143" t="str">
        <f t="shared" si="3"/>
        <v>=</v>
      </c>
      <c r="C93" s="151">
        <f t="shared" si="3"/>
        <v>3890000</v>
      </c>
      <c r="D93" s="143" t="str">
        <f t="shared" si="3"/>
        <v>x</v>
      </c>
      <c r="E93" s="13">
        <f t="shared" si="3"/>
        <v>1.068639595763287</v>
      </c>
      <c r="F93" s="143" t="str">
        <f t="shared" si="3"/>
        <v>=</v>
      </c>
      <c r="G93" s="123">
        <f>C93*E93</f>
        <v>4157008.0275191865</v>
      </c>
    </row>
    <row r="94" spans="1:10" x14ac:dyDescent="0.15">
      <c r="A94" s="105" t="str">
        <f>A36</f>
        <v>M x So(1+g) x RR</v>
      </c>
      <c r="B94" s="143" t="str">
        <f>B36</f>
        <v>=</v>
      </c>
      <c r="C94" s="141">
        <f>C89</f>
        <v>-5.305912596401028E-2</v>
      </c>
      <c r="D94" s="143" t="s">
        <v>709</v>
      </c>
      <c r="E94" s="123">
        <f>G93</f>
        <v>4157008.0275191865</v>
      </c>
      <c r="F94" s="143" t="s">
        <v>709</v>
      </c>
      <c r="G94" s="141">
        <f>J91</f>
        <v>1</v>
      </c>
      <c r="H94" s="143" t="s">
        <v>695</v>
      </c>
      <c r="I94" s="123">
        <f>C94*E94*G94</f>
        <v>-220567.21256554243</v>
      </c>
    </row>
    <row r="95" spans="1:10" x14ac:dyDescent="0.15">
      <c r="A95" s="105" t="str">
        <f>A37</f>
        <v>M x So(1+g) x RR</v>
      </c>
      <c r="B95" s="143" t="str">
        <f>B37</f>
        <v>=</v>
      </c>
      <c r="C95" s="123">
        <f>I94</f>
        <v>-220567.21256554243</v>
      </c>
    </row>
    <row r="97" spans="1:5" x14ac:dyDescent="0.15">
      <c r="A97" s="105" t="str">
        <f>E86</f>
        <v>Depr. t+1</v>
      </c>
      <c r="B97" s="143" t="s">
        <v>695</v>
      </c>
      <c r="C97" s="153">
        <f>E78</f>
        <v>2182555.396053791</v>
      </c>
    </row>
    <row r="99" spans="1:5" x14ac:dyDescent="0.15">
      <c r="A99" s="105" t="s">
        <v>688</v>
      </c>
      <c r="B99" s="143" t="s">
        <v>695</v>
      </c>
      <c r="C99" s="105" t="str">
        <f>C86</f>
        <v>M x So(1+g) x RR</v>
      </c>
      <c r="D99" s="143" t="str">
        <f>D86</f>
        <v>+</v>
      </c>
      <c r="E99" s="105" t="str">
        <f>E86</f>
        <v>Depr. t+1</v>
      </c>
    </row>
    <row r="100" spans="1:5" x14ac:dyDescent="0.15">
      <c r="A100" s="105" t="str">
        <f>A99</f>
        <v>IFG</v>
      </c>
      <c r="B100" s="143" t="s">
        <v>695</v>
      </c>
      <c r="C100" s="123">
        <f>C95</f>
        <v>-220567.21256554243</v>
      </c>
      <c r="D100" s="143" t="s">
        <v>724</v>
      </c>
      <c r="E100" s="153">
        <f>C97</f>
        <v>2182555.396053791</v>
      </c>
    </row>
    <row r="101" spans="1:5" x14ac:dyDescent="0.15">
      <c r="A101" s="105" t="str">
        <f>A100</f>
        <v>IFG</v>
      </c>
      <c r="B101" s="143" t="s">
        <v>695</v>
      </c>
      <c r="C101" s="123">
        <f>C100+E100</f>
        <v>1961988.1834882486</v>
      </c>
    </row>
    <row r="104" spans="1:5" x14ac:dyDescent="0.15">
      <c r="D104" s="121" t="s">
        <v>733</v>
      </c>
    </row>
    <row r="105" spans="1:5" x14ac:dyDescent="0.15">
      <c r="A105" s="105" t="str">
        <f>A46</f>
        <v>AFN</v>
      </c>
      <c r="B105" s="143" t="str">
        <f>B46</f>
        <v>=</v>
      </c>
      <c r="C105" s="11">
        <f>C46</f>
        <v>596611.63415937277</v>
      </c>
    </row>
    <row r="106" spans="1:5" x14ac:dyDescent="0.15">
      <c r="A106" s="105" t="str">
        <f>A79</f>
        <v>TFN</v>
      </c>
      <c r="B106" s="143" t="str">
        <f>B79</f>
        <v>=</v>
      </c>
      <c r="C106" s="11">
        <f>C79</f>
        <v>2558599.8176476215</v>
      </c>
    </row>
    <row r="107" spans="1:5" x14ac:dyDescent="0.15">
      <c r="A107" s="105" t="s">
        <v>688</v>
      </c>
      <c r="B107" s="143" t="s">
        <v>695</v>
      </c>
      <c r="C107" s="123">
        <f>C101</f>
        <v>1961988.1834882486</v>
      </c>
    </row>
    <row r="109" spans="1:5" x14ac:dyDescent="0.15">
      <c r="A109" s="105" t="s">
        <v>686</v>
      </c>
      <c r="B109" s="143" t="s">
        <v>695</v>
      </c>
      <c r="C109" s="105" t="str">
        <f>A106</f>
        <v>TFN</v>
      </c>
      <c r="D109" s="105" t="s">
        <v>24</v>
      </c>
      <c r="E109" s="105" t="str">
        <f>A107</f>
        <v>IFG</v>
      </c>
    </row>
    <row r="110" spans="1:5" x14ac:dyDescent="0.15">
      <c r="A110" s="123">
        <f>C105</f>
        <v>596611.63415937277</v>
      </c>
      <c r="B110" s="143" t="s">
        <v>695</v>
      </c>
      <c r="C110" s="123">
        <f>C106</f>
        <v>2558599.8176476215</v>
      </c>
      <c r="D110" s="105" t="s">
        <v>24</v>
      </c>
      <c r="E110" s="123">
        <f>C107</f>
        <v>1961988.1834882486</v>
      </c>
    </row>
    <row r="111" spans="1:5" x14ac:dyDescent="0.15">
      <c r="A111" s="123">
        <f>A110</f>
        <v>596611.63415937277</v>
      </c>
      <c r="B111" s="143" t="s">
        <v>695</v>
      </c>
      <c r="C111" s="123">
        <f>C110-E110</f>
        <v>596611.63415937289</v>
      </c>
    </row>
  </sheetData>
  <mergeCells count="1">
    <mergeCell ref="B83:B84"/>
  </mergeCells>
  <pageMargins left="0.7" right="0.7" top="0.75" bottom="0.75" header="0.3" footer="0.3"/>
  <pageSetup scale="81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306A8-04DD-4825-B164-3E5B6673A3FD}">
  <sheetPr>
    <pageSetUpPr fitToPage="1"/>
  </sheetPr>
  <dimension ref="A2:M21"/>
  <sheetViews>
    <sheetView workbookViewId="0">
      <selection activeCell="D21" sqref="D21"/>
    </sheetView>
  </sheetViews>
  <sheetFormatPr baseColWidth="10" defaultColWidth="8.83203125" defaultRowHeight="13" x14ac:dyDescent="0.15"/>
  <cols>
    <col min="1" max="1" width="9.83203125" style="105" bestFit="1" customWidth="1"/>
    <col min="2" max="2" width="8.83203125" style="105"/>
    <col min="3" max="3" width="17.1640625" style="105" bestFit="1" customWidth="1"/>
    <col min="4" max="4" width="10.1640625" style="105" customWidth="1"/>
    <col min="5" max="6" width="16.1640625" style="105" bestFit="1" customWidth="1"/>
    <col min="7" max="7" width="15.1640625" style="105" bestFit="1" customWidth="1"/>
    <col min="8" max="8" width="8.83203125" style="105"/>
    <col min="9" max="9" width="10.5" style="105" bestFit="1" customWidth="1"/>
    <col min="10" max="10" width="8.83203125" style="105"/>
    <col min="11" max="11" width="9.83203125" style="105" bestFit="1" customWidth="1"/>
    <col min="12" max="16384" width="8.83203125" style="105"/>
  </cols>
  <sheetData>
    <row r="2" spans="1:13" x14ac:dyDescent="0.15">
      <c r="D2" s="121" t="s">
        <v>734</v>
      </c>
    </row>
    <row r="4" spans="1:13" hidden="1" x14ac:dyDescent="0.15">
      <c r="A4" s="105" t="s">
        <v>689</v>
      </c>
      <c r="B4" s="143" t="s">
        <v>695</v>
      </c>
      <c r="C4" s="105" t="s">
        <v>735</v>
      </c>
      <c r="D4" s="143" t="s">
        <v>709</v>
      </c>
      <c r="E4" s="105" t="s">
        <v>262</v>
      </c>
    </row>
    <row r="5" spans="1:13" hidden="1" x14ac:dyDescent="0.15">
      <c r="A5" s="105" t="s">
        <v>689</v>
      </c>
      <c r="B5" s="143" t="s">
        <v>695</v>
      </c>
      <c r="C5" s="141">
        <f>'[1]Ratio Calculations'!B28</f>
        <v>7.2082759452693809E-2</v>
      </c>
      <c r="D5" s="143" t="s">
        <v>709</v>
      </c>
      <c r="E5" s="141">
        <f>[1]AFN!E32</f>
        <v>2.175732217573223E-2</v>
      </c>
    </row>
    <row r="6" spans="1:13" hidden="1" x14ac:dyDescent="0.15">
      <c r="A6" s="105" t="s">
        <v>689</v>
      </c>
      <c r="B6" s="143" t="s">
        <v>695</v>
      </c>
      <c r="D6" s="141">
        <f>C5*E5</f>
        <v>1.5683278207280671E-3</v>
      </c>
    </row>
    <row r="7" spans="1:13" hidden="1" x14ac:dyDescent="0.15"/>
    <row r="8" spans="1:13" x14ac:dyDescent="0.15">
      <c r="A8" s="105" t="s">
        <v>689</v>
      </c>
      <c r="B8" s="143" t="s">
        <v>695</v>
      </c>
      <c r="C8" s="105" t="s">
        <v>736</v>
      </c>
      <c r="D8" s="143" t="s">
        <v>737</v>
      </c>
      <c r="E8" s="105" t="s">
        <v>738</v>
      </c>
      <c r="F8" s="143" t="s">
        <v>708</v>
      </c>
      <c r="G8" s="105" t="s">
        <v>739</v>
      </c>
      <c r="H8" s="143" t="s">
        <v>24</v>
      </c>
      <c r="I8" s="105" t="s">
        <v>711</v>
      </c>
      <c r="J8" s="143" t="s">
        <v>24</v>
      </c>
      <c r="K8" s="105" t="str">
        <f>C8</f>
        <v>M (1-POR)</v>
      </c>
      <c r="L8" s="143" t="s">
        <v>737</v>
      </c>
      <c r="M8" s="105" t="s">
        <v>738</v>
      </c>
    </row>
    <row r="10" spans="1:13" x14ac:dyDescent="0.15">
      <c r="A10" s="105" t="str">
        <f>C8</f>
        <v>M (1-POR)</v>
      </c>
      <c r="B10" s="143" t="s">
        <v>695</v>
      </c>
      <c r="C10" s="141">
        <f>Ratios!C8</f>
        <v>-5.305912596401028E-2</v>
      </c>
      <c r="D10" s="143" t="s">
        <v>737</v>
      </c>
      <c r="E10" s="105">
        <v>1</v>
      </c>
      <c r="F10" s="105" t="s">
        <v>24</v>
      </c>
      <c r="G10" s="141">
        <f>Ratios!C108</f>
        <v>0</v>
      </c>
    </row>
    <row r="11" spans="1:13" x14ac:dyDescent="0.15">
      <c r="C11" s="141">
        <f>C10</f>
        <v>-5.305912596401028E-2</v>
      </c>
      <c r="D11" s="143" t="s">
        <v>737</v>
      </c>
      <c r="E11" s="141">
        <f>E10-G10</f>
        <v>1</v>
      </c>
    </row>
    <row r="12" spans="1:13" x14ac:dyDescent="0.15">
      <c r="A12" s="105" t="s">
        <v>740</v>
      </c>
      <c r="D12" s="164">
        <f>C11*E11</f>
        <v>-5.305912596401028E-2</v>
      </c>
      <c r="E12" s="143" t="s">
        <v>737</v>
      </c>
      <c r="F12" s="151">
        <f>'Inc Statement'!C16</f>
        <v>3890000</v>
      </c>
    </row>
    <row r="13" spans="1:13" x14ac:dyDescent="0.15">
      <c r="E13" s="165">
        <f>D12*F12</f>
        <v>-206400</v>
      </c>
    </row>
    <row r="15" spans="1:13" x14ac:dyDescent="0.15">
      <c r="A15" s="105" t="str">
        <f>G8</f>
        <v>Ao</v>
      </c>
      <c r="B15" s="143" t="s">
        <v>695</v>
      </c>
      <c r="C15" s="151">
        <f>'Bal. Sheet'!C54</f>
        <v>7951200</v>
      </c>
    </row>
    <row r="16" spans="1:13" x14ac:dyDescent="0.15">
      <c r="A16" s="105" t="str">
        <f>I8</f>
        <v>Lo</v>
      </c>
      <c r="B16" s="143" t="s">
        <v>695</v>
      </c>
      <c r="C16" s="151">
        <f>AFN!C24</f>
        <v>968800</v>
      </c>
    </row>
    <row r="18" spans="1:9" x14ac:dyDescent="0.15">
      <c r="A18" s="105" t="str">
        <f>A8</f>
        <v>g*</v>
      </c>
      <c r="B18" s="143" t="str">
        <f>B8</f>
        <v>=</v>
      </c>
      <c r="C18" s="143" t="str">
        <f>A12</f>
        <v>M (1-POR) * So</v>
      </c>
      <c r="D18" s="143" t="str">
        <f t="shared" ref="D18:I18" si="0">F8</f>
        <v>/</v>
      </c>
      <c r="E18" s="143" t="str">
        <f t="shared" si="0"/>
        <v>Ao</v>
      </c>
      <c r="F18" s="143" t="str">
        <f t="shared" si="0"/>
        <v>-</v>
      </c>
      <c r="G18" s="143" t="str">
        <f t="shared" si="0"/>
        <v>Lo</v>
      </c>
      <c r="H18" s="143" t="str">
        <f t="shared" si="0"/>
        <v>-</v>
      </c>
      <c r="I18" s="143" t="str">
        <f t="shared" si="0"/>
        <v>M (1-POR)</v>
      </c>
    </row>
    <row r="19" spans="1:9" x14ac:dyDescent="0.15">
      <c r="A19" s="105" t="str">
        <f>A18</f>
        <v>g*</v>
      </c>
      <c r="B19" s="143" t="s">
        <v>695</v>
      </c>
      <c r="C19" s="166">
        <f>E13</f>
        <v>-206400</v>
      </c>
      <c r="D19" s="143" t="s">
        <v>708</v>
      </c>
      <c r="E19" s="166">
        <f>C15</f>
        <v>7951200</v>
      </c>
      <c r="F19" s="143" t="s">
        <v>24</v>
      </c>
      <c r="G19" s="166">
        <f>C16</f>
        <v>968800</v>
      </c>
      <c r="H19" s="143" t="s">
        <v>24</v>
      </c>
      <c r="I19" s="166">
        <f>E13</f>
        <v>-206400</v>
      </c>
    </row>
    <row r="20" spans="1:9" x14ac:dyDescent="0.15">
      <c r="A20" s="105" t="s">
        <v>689</v>
      </c>
      <c r="B20" s="143" t="s">
        <v>695</v>
      </c>
      <c r="C20" s="151">
        <f>C19</f>
        <v>-206400</v>
      </c>
      <c r="D20" s="143" t="s">
        <v>708</v>
      </c>
      <c r="E20" s="151">
        <f>E19-G19-I19</f>
        <v>7188800</v>
      </c>
    </row>
    <row r="21" spans="1:9" x14ac:dyDescent="0.15">
      <c r="A21" s="121" t="s">
        <v>689</v>
      </c>
      <c r="B21" s="163" t="s">
        <v>695</v>
      </c>
      <c r="D21" s="98">
        <f>C20/E20</f>
        <v>-2.8711328733585579E-2</v>
      </c>
    </row>
  </sheetData>
  <pageMargins left="0.7" right="0.7" top="0.75" bottom="0.75" header="0.3" footer="0.3"/>
  <pageSetup scale="84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F3086-C10C-475D-9070-3B3BE1B8E6A5}">
  <sheetPr>
    <pageSetUpPr fitToPage="1"/>
  </sheetPr>
  <dimension ref="A1:P47"/>
  <sheetViews>
    <sheetView topLeftCell="A19" zoomScaleNormal="100" workbookViewId="0">
      <selection activeCell="G13" sqref="G13"/>
    </sheetView>
  </sheetViews>
  <sheetFormatPr baseColWidth="10" defaultColWidth="8.83203125" defaultRowHeight="15" x14ac:dyDescent="0.2"/>
  <cols>
    <col min="1" max="1" width="18.1640625" style="168" customWidth="1"/>
    <col min="2" max="2" width="10.5" style="168" bestFit="1" customWidth="1"/>
    <col min="3" max="3" width="10.5" style="168" customWidth="1"/>
    <col min="4" max="4" width="11" style="168" bestFit="1" customWidth="1"/>
    <col min="5" max="5" width="14.83203125" style="168" customWidth="1"/>
    <col min="6" max="6" width="8.1640625" style="168" bestFit="1" customWidth="1"/>
    <col min="7" max="16384" width="8.83203125" style="168"/>
  </cols>
  <sheetData>
    <row r="1" spans="1:16" x14ac:dyDescent="0.2">
      <c r="D1" s="169"/>
    </row>
    <row r="3" spans="1:16" ht="17" x14ac:dyDescent="0.2">
      <c r="A3" s="170" t="s">
        <v>741</v>
      </c>
      <c r="B3" s="170" t="s">
        <v>788</v>
      </c>
    </row>
    <row r="4" spans="1:16" x14ac:dyDescent="0.2">
      <c r="A4" s="171" t="s">
        <v>742</v>
      </c>
      <c r="B4" s="168">
        <v>2020</v>
      </c>
      <c r="C4" s="172">
        <v>0</v>
      </c>
    </row>
    <row r="5" spans="1:16" x14ac:dyDescent="0.2">
      <c r="A5" s="171" t="s">
        <v>743</v>
      </c>
      <c r="B5" s="168">
        <v>2021</v>
      </c>
      <c r="C5" s="172">
        <v>0</v>
      </c>
      <c r="F5" s="173">
        <f>B4-1</f>
        <v>2019</v>
      </c>
      <c r="G5" s="173">
        <f>F5+1</f>
        <v>2020</v>
      </c>
      <c r="H5" s="173">
        <f>G5+1</f>
        <v>2021</v>
      </c>
      <c r="I5" s="173">
        <f>H5+1</f>
        <v>2022</v>
      </c>
      <c r="J5" s="173">
        <f>I5+1</f>
        <v>2023</v>
      </c>
      <c r="K5" s="174">
        <v>2024</v>
      </c>
    </row>
    <row r="6" spans="1:16" x14ac:dyDescent="0.2">
      <c r="A6" s="171" t="s">
        <v>744</v>
      </c>
      <c r="B6" s="168" t="s">
        <v>745</v>
      </c>
      <c r="C6" s="172">
        <v>0.2</v>
      </c>
      <c r="F6" s="175">
        <v>0</v>
      </c>
      <c r="G6" s="175">
        <v>1</v>
      </c>
      <c r="H6" s="175">
        <v>2</v>
      </c>
      <c r="I6" s="175">
        <v>3</v>
      </c>
      <c r="J6" s="175">
        <v>4</v>
      </c>
      <c r="K6" s="175">
        <v>5</v>
      </c>
    </row>
    <row r="7" spans="1:16" x14ac:dyDescent="0.2">
      <c r="A7" s="176" t="s">
        <v>746</v>
      </c>
      <c r="C7" s="168">
        <v>3</v>
      </c>
      <c r="E7" s="176" t="s">
        <v>747</v>
      </c>
      <c r="G7" s="177">
        <f>B10</f>
        <v>0</v>
      </c>
      <c r="H7" s="177">
        <f>B11</f>
        <v>0</v>
      </c>
      <c r="I7" s="177">
        <v>0</v>
      </c>
      <c r="J7" s="177">
        <v>0</v>
      </c>
      <c r="K7" s="177">
        <v>0</v>
      </c>
    </row>
    <row r="8" spans="1:16" x14ac:dyDescent="0.2">
      <c r="A8" s="176" t="s">
        <v>748</v>
      </c>
      <c r="C8" s="178" t="e">
        <f>((C6/C5)^(1/C7))-1</f>
        <v>#DIV/0!</v>
      </c>
      <c r="E8" s="176" t="s">
        <v>749</v>
      </c>
      <c r="F8" s="179">
        <f>-C16</f>
        <v>-12.51</v>
      </c>
      <c r="G8" s="179">
        <v>0</v>
      </c>
      <c r="H8" s="179">
        <v>0</v>
      </c>
      <c r="I8" s="179">
        <v>0</v>
      </c>
      <c r="J8" s="179">
        <v>0</v>
      </c>
      <c r="K8" s="179">
        <f>B32</f>
        <v>23.983333333333334</v>
      </c>
    </row>
    <row r="9" spans="1:16" x14ac:dyDescent="0.2">
      <c r="A9" s="176"/>
      <c r="E9" s="176" t="s">
        <v>750</v>
      </c>
      <c r="F9" s="177">
        <f>SUM(F7:F8)</f>
        <v>-12.51</v>
      </c>
      <c r="G9" s="177">
        <f>SUM(G7:G8)</f>
        <v>0</v>
      </c>
      <c r="H9" s="177">
        <f>SUM(H7:H8)</f>
        <v>0</v>
      </c>
      <c r="I9" s="177">
        <v>0</v>
      </c>
      <c r="J9" s="177">
        <v>0</v>
      </c>
      <c r="K9" s="177">
        <f>K8</f>
        <v>23.983333333333334</v>
      </c>
      <c r="L9" s="177"/>
      <c r="M9" s="177"/>
      <c r="N9" s="177"/>
      <c r="O9" s="177"/>
      <c r="P9" s="177"/>
    </row>
    <row r="10" spans="1:16" x14ac:dyDescent="0.2">
      <c r="A10" s="171" t="s">
        <v>742</v>
      </c>
      <c r="B10" s="172">
        <f>C4</f>
        <v>0</v>
      </c>
      <c r="L10" s="180"/>
      <c r="P10" s="177"/>
    </row>
    <row r="11" spans="1:16" x14ac:dyDescent="0.2">
      <c r="A11" s="171" t="s">
        <v>743</v>
      </c>
      <c r="B11" s="172">
        <f>C5</f>
        <v>0</v>
      </c>
      <c r="E11" s="176" t="s">
        <v>751</v>
      </c>
      <c r="G11" s="180">
        <f>IRR(F9:K9)</f>
        <v>0.13901763136924861</v>
      </c>
      <c r="H11" s="177"/>
      <c r="I11" s="177"/>
      <c r="J11" s="177"/>
      <c r="L11" s="180"/>
    </row>
    <row r="12" spans="1:16" x14ac:dyDescent="0.2">
      <c r="A12" s="171" t="s">
        <v>752</v>
      </c>
      <c r="B12" s="172" t="e">
        <f>B11*(1+$C$8)</f>
        <v>#DIV/0!</v>
      </c>
      <c r="E12" s="176"/>
    </row>
    <row r="13" spans="1:16" x14ac:dyDescent="0.2">
      <c r="A13" s="171" t="s">
        <v>753</v>
      </c>
      <c r="B13" s="172" t="e">
        <f>B12*(1+$C$8)</f>
        <v>#DIV/0!</v>
      </c>
      <c r="E13" s="176" t="s">
        <v>754</v>
      </c>
      <c r="G13" s="181">
        <v>1.92</v>
      </c>
    </row>
    <row r="14" spans="1:16" x14ac:dyDescent="0.2">
      <c r="A14" s="171" t="s">
        <v>744</v>
      </c>
      <c r="B14" s="172" t="e">
        <f>B13*(1+$C$8)</f>
        <v>#DIV/0!</v>
      </c>
      <c r="E14" s="176"/>
      <c r="K14" s="180"/>
    </row>
    <row r="15" spans="1:16" x14ac:dyDescent="0.2">
      <c r="A15" s="171"/>
      <c r="E15" s="176" t="s">
        <v>755</v>
      </c>
      <c r="G15" s="181">
        <f>C16/F35</f>
        <v>-20.85</v>
      </c>
      <c r="H15" s="233" t="s">
        <v>716</v>
      </c>
      <c r="I15" s="230">
        <f>C16/Ratios!C104</f>
        <v>27.85027278857353</v>
      </c>
      <c r="J15" s="231" t="s">
        <v>923</v>
      </c>
      <c r="K15" s="180"/>
    </row>
    <row r="16" spans="1:16" x14ac:dyDescent="0.2">
      <c r="A16" s="176" t="s">
        <v>833</v>
      </c>
      <c r="C16" s="177">
        <v>12.51</v>
      </c>
      <c r="E16" s="176"/>
    </row>
    <row r="17" spans="1:11" x14ac:dyDescent="0.2">
      <c r="A17" s="176" t="s">
        <v>756</v>
      </c>
      <c r="C17" s="177">
        <f>Ratios!C109</f>
        <v>12.207434603028913</v>
      </c>
      <c r="E17" s="176" t="s">
        <v>757</v>
      </c>
      <c r="G17" s="182">
        <f>F35/C17</f>
        <v>-4.9150375939849618E-2</v>
      </c>
      <c r="H17" s="233" t="s">
        <v>716</v>
      </c>
      <c r="I17" s="232">
        <f>Ratios!C104/Ratios!C109</f>
        <v>3.6796240601503757E-2</v>
      </c>
      <c r="J17" s="231" t="s">
        <v>923</v>
      </c>
    </row>
    <row r="18" spans="1:11" x14ac:dyDescent="0.2">
      <c r="A18" s="176"/>
      <c r="C18" s="177"/>
      <c r="E18" s="176"/>
    </row>
    <row r="19" spans="1:11" x14ac:dyDescent="0.2">
      <c r="A19" s="176"/>
      <c r="E19" s="176" t="s">
        <v>758</v>
      </c>
      <c r="G19" s="177">
        <f>SUM(F36:F40)</f>
        <v>3.7</v>
      </c>
      <c r="H19" s="177"/>
    </row>
    <row r="20" spans="1:11" x14ac:dyDescent="0.2">
      <c r="A20" s="176" t="s">
        <v>759</v>
      </c>
      <c r="B20" s="168">
        <v>17</v>
      </c>
      <c r="E20" s="176"/>
      <c r="G20" s="177"/>
    </row>
    <row r="21" spans="1:11" x14ac:dyDescent="0.2">
      <c r="A21" s="176" t="s">
        <v>760</v>
      </c>
      <c r="B21" s="177">
        <v>1.85</v>
      </c>
      <c r="E21" s="176" t="s">
        <v>761</v>
      </c>
      <c r="G21" s="182">
        <f>G19/C16</f>
        <v>0.29576338928856916</v>
      </c>
      <c r="H21" s="182"/>
    </row>
    <row r="22" spans="1:11" x14ac:dyDescent="0.2">
      <c r="A22" s="176" t="s">
        <v>762</v>
      </c>
      <c r="B22" s="177">
        <f>B20*B21</f>
        <v>31.450000000000003</v>
      </c>
      <c r="H22" s="177"/>
      <c r="I22" s="177"/>
      <c r="J22" s="177"/>
    </row>
    <row r="23" spans="1:11" x14ac:dyDescent="0.2">
      <c r="A23" s="176"/>
    </row>
    <row r="24" spans="1:11" x14ac:dyDescent="0.2">
      <c r="A24" s="176" t="s">
        <v>763</v>
      </c>
      <c r="B24" s="177">
        <v>16</v>
      </c>
    </row>
    <row r="25" spans="1:11" x14ac:dyDescent="0.2">
      <c r="A25" s="176" t="s">
        <v>764</v>
      </c>
      <c r="B25" s="177">
        <v>25</v>
      </c>
    </row>
    <row r="26" spans="1:11" x14ac:dyDescent="0.2">
      <c r="A26" s="176" t="s">
        <v>765</v>
      </c>
      <c r="B26" s="183">
        <f>AVERAGE(B24:B25)</f>
        <v>20.5</v>
      </c>
      <c r="C26" s="177"/>
    </row>
    <row r="27" spans="1:11" x14ac:dyDescent="0.2">
      <c r="A27" s="176"/>
      <c r="D27" s="176"/>
    </row>
    <row r="28" spans="1:11" x14ac:dyDescent="0.2">
      <c r="A28" s="176" t="s">
        <v>766</v>
      </c>
      <c r="B28" s="184">
        <v>20</v>
      </c>
      <c r="E28" s="181"/>
      <c r="F28" s="181"/>
      <c r="G28" s="181"/>
      <c r="K28" s="181"/>
    </row>
    <row r="29" spans="1:11" x14ac:dyDescent="0.2">
      <c r="A29" s="176" t="s">
        <v>767</v>
      </c>
      <c r="B29" s="177">
        <v>1</v>
      </c>
      <c r="E29" s="177"/>
      <c r="F29" s="177"/>
      <c r="G29" s="177"/>
    </row>
    <row r="30" spans="1:11" x14ac:dyDescent="0.2">
      <c r="A30" s="176" t="s">
        <v>768</v>
      </c>
      <c r="B30" s="177">
        <f>B28*B29</f>
        <v>20</v>
      </c>
      <c r="E30" s="177"/>
      <c r="F30" s="172"/>
      <c r="G30" s="177"/>
    </row>
    <row r="32" spans="1:11" ht="16" x14ac:dyDescent="0.2">
      <c r="A32" s="176" t="s">
        <v>769</v>
      </c>
      <c r="B32" s="185">
        <f>AVERAGE(B22,B26,B30)</f>
        <v>23.983333333333334</v>
      </c>
    </row>
    <row r="35" spans="1:8" x14ac:dyDescent="0.2">
      <c r="A35" s="176" t="s">
        <v>770</v>
      </c>
      <c r="B35" s="177">
        <v>-0.35</v>
      </c>
      <c r="C35" s="176" t="s">
        <v>771</v>
      </c>
      <c r="D35" s="177">
        <v>0.25</v>
      </c>
      <c r="E35" s="176" t="s">
        <v>772</v>
      </c>
      <c r="F35" s="177">
        <f>B35-D35</f>
        <v>-0.6</v>
      </c>
      <c r="G35" s="177"/>
      <c r="H35" s="177"/>
    </row>
    <row r="36" spans="1:8" x14ac:dyDescent="0.2">
      <c r="A36" s="176" t="s">
        <v>773</v>
      </c>
      <c r="B36" s="177">
        <v>0</v>
      </c>
      <c r="C36" s="176" t="s">
        <v>774</v>
      </c>
      <c r="D36" s="177">
        <v>0.3</v>
      </c>
      <c r="E36" s="176" t="s">
        <v>775</v>
      </c>
      <c r="F36" s="177">
        <f>B36-D36</f>
        <v>-0.3</v>
      </c>
      <c r="G36" s="177"/>
    </row>
    <row r="37" spans="1:8" x14ac:dyDescent="0.2">
      <c r="A37" s="176" t="s">
        <v>776</v>
      </c>
      <c r="B37" s="177">
        <v>1</v>
      </c>
      <c r="C37" s="176" t="s">
        <v>777</v>
      </c>
      <c r="D37" s="177">
        <v>0.35</v>
      </c>
      <c r="E37" s="176" t="s">
        <v>778</v>
      </c>
      <c r="F37" s="177">
        <f>B37-D37</f>
        <v>0.65</v>
      </c>
      <c r="G37" s="177"/>
    </row>
    <row r="38" spans="1:8" x14ac:dyDescent="0.2">
      <c r="A38" s="176" t="s">
        <v>779</v>
      </c>
      <c r="B38" s="186"/>
      <c r="C38" s="176" t="s">
        <v>780</v>
      </c>
      <c r="D38" s="186"/>
      <c r="E38" s="176" t="s">
        <v>781</v>
      </c>
      <c r="F38" s="177">
        <f>AVERAGE(F37,F40)</f>
        <v>1</v>
      </c>
      <c r="G38" s="177"/>
    </row>
    <row r="39" spans="1:8" x14ac:dyDescent="0.2">
      <c r="A39" s="176" t="s">
        <v>782</v>
      </c>
      <c r="B39" s="186"/>
      <c r="C39" s="176" t="s">
        <v>783</v>
      </c>
      <c r="D39" s="186"/>
      <c r="E39" s="176" t="s">
        <v>784</v>
      </c>
      <c r="F39" s="177">
        <f>F38</f>
        <v>1</v>
      </c>
      <c r="G39" s="177"/>
      <c r="H39" s="177"/>
    </row>
    <row r="40" spans="1:8" x14ac:dyDescent="0.2">
      <c r="A40" s="176" t="s">
        <v>785</v>
      </c>
      <c r="B40" s="177">
        <v>1.85</v>
      </c>
      <c r="C40" s="176" t="s">
        <v>786</v>
      </c>
      <c r="D40" s="177">
        <v>0.5</v>
      </c>
      <c r="E40" s="176" t="s">
        <v>787</v>
      </c>
      <c r="F40" s="177">
        <f>B40-D40</f>
        <v>1.35</v>
      </c>
      <c r="G40" s="177"/>
    </row>
    <row r="42" spans="1:8" x14ac:dyDescent="0.2">
      <c r="A42" s="177"/>
      <c r="F42" s="187"/>
    </row>
    <row r="43" spans="1:8" x14ac:dyDescent="0.2">
      <c r="A43" s="188"/>
    </row>
    <row r="44" spans="1:8" x14ac:dyDescent="0.2">
      <c r="A44" s="188"/>
    </row>
    <row r="47" spans="1:8" x14ac:dyDescent="0.2">
      <c r="B47" s="181"/>
      <c r="D47" s="181"/>
    </row>
  </sheetData>
  <pageMargins left="0.7" right="0.7" top="0.75" bottom="0.75" header="0.3" footer="0.3"/>
  <pageSetup scale="93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5E8D4-6306-4A09-8E78-255AF5EBFC36}">
  <sheetPr>
    <pageSetUpPr fitToPage="1"/>
  </sheetPr>
  <dimension ref="A2:I54"/>
  <sheetViews>
    <sheetView topLeftCell="A7" workbookViewId="0">
      <selection activeCell="C28" sqref="C28"/>
    </sheetView>
  </sheetViews>
  <sheetFormatPr baseColWidth="10" defaultColWidth="8.83203125" defaultRowHeight="13" x14ac:dyDescent="0.15"/>
  <cols>
    <col min="1" max="1" width="16.1640625" style="105" customWidth="1"/>
    <col min="2" max="2" width="12.1640625" style="105" bestFit="1" customWidth="1"/>
    <col min="3" max="3" width="13" style="105" customWidth="1"/>
    <col min="4" max="4" width="19" style="105" customWidth="1"/>
    <col min="5" max="5" width="14.6640625" style="105" customWidth="1"/>
    <col min="6" max="16384" width="8.83203125" style="105"/>
  </cols>
  <sheetData>
    <row r="2" spans="1:5" x14ac:dyDescent="0.15">
      <c r="D2" s="163" t="s">
        <v>789</v>
      </c>
    </row>
    <row r="3" spans="1:5" x14ac:dyDescent="0.15">
      <c r="A3" s="105" t="s">
        <v>790</v>
      </c>
    </row>
    <row r="4" spans="1:5" x14ac:dyDescent="0.15">
      <c r="A4" s="105" t="s">
        <v>791</v>
      </c>
      <c r="D4" s="105" t="s">
        <v>695</v>
      </c>
      <c r="E4" s="141" t="e">
        <f>C25</f>
        <v>#NUM!</v>
      </c>
    </row>
    <row r="5" spans="1:5" x14ac:dyDescent="0.15">
      <c r="A5" s="105" t="s">
        <v>792</v>
      </c>
      <c r="D5" s="105" t="s">
        <v>695</v>
      </c>
      <c r="E5" s="194">
        <f>C48</f>
        <v>0.11498799999999999</v>
      </c>
    </row>
    <row r="6" spans="1:5" x14ac:dyDescent="0.15">
      <c r="E6" s="141"/>
    </row>
    <row r="7" spans="1:5" x14ac:dyDescent="0.15">
      <c r="A7" s="121" t="s">
        <v>793</v>
      </c>
    </row>
    <row r="9" spans="1:5" x14ac:dyDescent="0.15">
      <c r="A9" s="105" t="s">
        <v>794</v>
      </c>
      <c r="B9" s="105" t="s">
        <v>695</v>
      </c>
      <c r="C9" s="105" t="s">
        <v>795</v>
      </c>
    </row>
    <row r="10" spans="1:5" x14ac:dyDescent="0.15">
      <c r="A10" s="105" t="s">
        <v>796</v>
      </c>
      <c r="B10" s="105" t="s">
        <v>695</v>
      </c>
      <c r="C10" s="105" t="s">
        <v>797</v>
      </c>
    </row>
    <row r="12" spans="1:5" x14ac:dyDescent="0.15">
      <c r="A12" s="105" t="s">
        <v>742</v>
      </c>
      <c r="B12" s="105" t="s">
        <v>695</v>
      </c>
      <c r="C12" s="123">
        <f>Ratios!C104*(1+Ratios!I88)</f>
        <v>0.44918770078017439</v>
      </c>
    </row>
    <row r="13" spans="1:5" x14ac:dyDescent="0.15">
      <c r="A13" s="105" t="s">
        <v>794</v>
      </c>
      <c r="B13" s="105" t="s">
        <v>695</v>
      </c>
      <c r="C13" s="123">
        <f>'Value Line'!C16</f>
        <v>12.51</v>
      </c>
    </row>
    <row r="14" spans="1:5" x14ac:dyDescent="0.15">
      <c r="A14" s="105" t="s">
        <v>798</v>
      </c>
      <c r="B14" s="105" t="s">
        <v>695</v>
      </c>
      <c r="C14" s="189">
        <v>0</v>
      </c>
      <c r="D14" s="105" t="s">
        <v>834</v>
      </c>
    </row>
    <row r="15" spans="1:5" x14ac:dyDescent="0.15">
      <c r="A15" s="105" t="s">
        <v>799</v>
      </c>
      <c r="B15" s="105" t="s">
        <v>695</v>
      </c>
      <c r="C15" s="141" t="e">
        <f>'Cash Flow Generation'!I8</f>
        <v>#NUM!</v>
      </c>
      <c r="D15" s="105" t="s">
        <v>849</v>
      </c>
    </row>
    <row r="17" spans="1:9" x14ac:dyDescent="0.15">
      <c r="A17" s="105" t="s">
        <v>800</v>
      </c>
    </row>
    <row r="18" spans="1:9" ht="13.75" customHeight="1" x14ac:dyDescent="0.15"/>
    <row r="19" spans="1:9" x14ac:dyDescent="0.15">
      <c r="A19" s="105" t="s">
        <v>796</v>
      </c>
      <c r="B19" s="105" t="s">
        <v>695</v>
      </c>
      <c r="C19" s="143" t="s">
        <v>742</v>
      </c>
      <c r="D19" s="143" t="s">
        <v>708</v>
      </c>
      <c r="E19" s="143" t="s">
        <v>794</v>
      </c>
      <c r="F19" s="143" t="s">
        <v>737</v>
      </c>
      <c r="G19" s="143" t="s">
        <v>801</v>
      </c>
      <c r="H19" s="143"/>
      <c r="I19" s="144" t="s">
        <v>802</v>
      </c>
    </row>
    <row r="20" spans="1:9" x14ac:dyDescent="0.15">
      <c r="C20" s="192">
        <f>C12</f>
        <v>0.44918770078017439</v>
      </c>
      <c r="D20" s="143" t="s">
        <v>708</v>
      </c>
      <c r="E20" s="192">
        <f>C13</f>
        <v>12.51</v>
      </c>
      <c r="F20" s="143" t="s">
        <v>737</v>
      </c>
      <c r="G20" s="143" t="s">
        <v>271</v>
      </c>
      <c r="H20" s="143"/>
      <c r="I20" s="193" t="e">
        <f>C15</f>
        <v>#NUM!</v>
      </c>
    </row>
    <row r="21" spans="1:9" x14ac:dyDescent="0.15">
      <c r="C21" s="192">
        <f>C20</f>
        <v>0.44918770078017439</v>
      </c>
      <c r="D21" s="143" t="s">
        <v>708</v>
      </c>
      <c r="E21" s="192">
        <f>E20</f>
        <v>12.51</v>
      </c>
      <c r="F21" s="143" t="s">
        <v>737</v>
      </c>
      <c r="G21" s="189">
        <f>1-C14</f>
        <v>1</v>
      </c>
      <c r="I21" s="193" t="e">
        <f>C15</f>
        <v>#NUM!</v>
      </c>
    </row>
    <row r="22" spans="1:9" x14ac:dyDescent="0.15">
      <c r="C22" s="123">
        <f>C21</f>
        <v>0.44918770078017439</v>
      </c>
      <c r="D22" s="143" t="str">
        <f>D21</f>
        <v>/</v>
      </c>
      <c r="F22" s="123">
        <f>E21*G21</f>
        <v>12.51</v>
      </c>
    </row>
    <row r="23" spans="1:9" x14ac:dyDescent="0.15">
      <c r="D23" s="13">
        <f>C22/F22</f>
        <v>3.5906291029590282E-2</v>
      </c>
      <c r="E23" s="159" t="s">
        <v>724</v>
      </c>
      <c r="F23" s="141" t="e">
        <f>C15</f>
        <v>#NUM!</v>
      </c>
    </row>
    <row r="24" spans="1:9" x14ac:dyDescent="0.15">
      <c r="A24" s="105" t="s">
        <v>796</v>
      </c>
      <c r="B24" s="105" t="s">
        <v>695</v>
      </c>
      <c r="E24" s="13" t="e">
        <f>D23+F23</f>
        <v>#NUM!</v>
      </c>
    </row>
    <row r="25" spans="1:9" x14ac:dyDescent="0.15">
      <c r="A25" s="121" t="s">
        <v>796</v>
      </c>
      <c r="B25" s="121" t="s">
        <v>695</v>
      </c>
      <c r="C25" s="194" t="e">
        <f>E24</f>
        <v>#NUM!</v>
      </c>
    </row>
    <row r="27" spans="1:9" ht="16" x14ac:dyDescent="0.2">
      <c r="A27" s="236" t="s">
        <v>803</v>
      </c>
    </row>
    <row r="28" spans="1:9" x14ac:dyDescent="0.15">
      <c r="A28" s="105" t="s">
        <v>835</v>
      </c>
      <c r="B28" s="105" t="s">
        <v>695</v>
      </c>
      <c r="C28" s="141">
        <v>1.15E-2</v>
      </c>
    </row>
    <row r="29" spans="1:9" x14ac:dyDescent="0.15">
      <c r="A29" s="105" t="s">
        <v>804</v>
      </c>
      <c r="B29" s="105" t="s">
        <v>695</v>
      </c>
      <c r="C29" s="141">
        <f>E34</f>
        <v>6.54E-2</v>
      </c>
    </row>
    <row r="31" spans="1:9" x14ac:dyDescent="0.15">
      <c r="A31" s="105" t="s">
        <v>805</v>
      </c>
    </row>
    <row r="32" spans="1:9" x14ac:dyDescent="0.15">
      <c r="A32" s="105" t="s">
        <v>806</v>
      </c>
      <c r="E32" s="141">
        <v>1.55E-2</v>
      </c>
    </row>
    <row r="33" spans="1:7" x14ac:dyDescent="0.15">
      <c r="A33" s="159" t="s">
        <v>921</v>
      </c>
      <c r="E33" s="195">
        <v>4.99E-2</v>
      </c>
    </row>
    <row r="34" spans="1:7" x14ac:dyDescent="0.15">
      <c r="A34" s="105" t="s">
        <v>807</v>
      </c>
      <c r="E34" s="141">
        <f>E32+E33</f>
        <v>6.54E-2</v>
      </c>
    </row>
    <row r="36" spans="1:7" x14ac:dyDescent="0.15">
      <c r="A36" s="105" t="s">
        <v>808</v>
      </c>
    </row>
    <row r="37" spans="1:7" x14ac:dyDescent="0.15">
      <c r="A37" s="105" t="s">
        <v>809</v>
      </c>
      <c r="E37" s="141">
        <f>E34</f>
        <v>6.54E-2</v>
      </c>
    </row>
    <row r="38" spans="1:7" x14ac:dyDescent="0.15">
      <c r="A38" s="196" t="s">
        <v>810</v>
      </c>
      <c r="E38" s="195">
        <f>C28</f>
        <v>1.15E-2</v>
      </c>
    </row>
    <row r="39" spans="1:7" x14ac:dyDescent="0.15">
      <c r="A39" s="105" t="s">
        <v>811</v>
      </c>
      <c r="E39" s="141">
        <f>E37-E38</f>
        <v>5.3900000000000003E-2</v>
      </c>
    </row>
    <row r="42" spans="1:7" x14ac:dyDescent="0.15">
      <c r="A42" s="105" t="s">
        <v>812</v>
      </c>
    </row>
    <row r="43" spans="1:7" x14ac:dyDescent="0.15">
      <c r="A43" s="105" t="s">
        <v>796</v>
      </c>
      <c r="B43" s="105" t="s">
        <v>695</v>
      </c>
      <c r="C43" s="143" t="s">
        <v>813</v>
      </c>
      <c r="D43" s="143" t="s">
        <v>724</v>
      </c>
      <c r="E43" s="143" t="s">
        <v>814</v>
      </c>
      <c r="F43" s="143" t="s">
        <v>737</v>
      </c>
      <c r="G43" s="143" t="s">
        <v>815</v>
      </c>
    </row>
    <row r="44" spans="1:7" x14ac:dyDescent="0.15">
      <c r="A44" s="105" t="s">
        <v>796</v>
      </c>
      <c r="B44" s="105" t="s">
        <v>695</v>
      </c>
      <c r="C44" s="197">
        <f>C28</f>
        <v>1.15E-2</v>
      </c>
      <c r="D44" s="143" t="s">
        <v>724</v>
      </c>
      <c r="E44" s="143">
        <v>1.92</v>
      </c>
      <c r="F44" s="143" t="s">
        <v>737</v>
      </c>
      <c r="G44" s="109" t="s">
        <v>922</v>
      </c>
    </row>
    <row r="45" spans="1:7" x14ac:dyDescent="0.15">
      <c r="A45" s="105" t="s">
        <v>796</v>
      </c>
      <c r="B45" s="105" t="s">
        <v>695</v>
      </c>
      <c r="C45" s="197">
        <f>C44</f>
        <v>1.15E-2</v>
      </c>
      <c r="D45" s="143" t="s">
        <v>724</v>
      </c>
      <c r="E45" s="143">
        <v>1.92</v>
      </c>
      <c r="F45" s="143" t="s">
        <v>737</v>
      </c>
      <c r="G45" s="197">
        <f>C29-C28</f>
        <v>5.3900000000000003E-2</v>
      </c>
    </row>
    <row r="46" spans="1:7" x14ac:dyDescent="0.15">
      <c r="A46" s="105" t="s">
        <v>796</v>
      </c>
      <c r="B46" s="105" t="s">
        <v>695</v>
      </c>
      <c r="C46" s="197">
        <f>C45</f>
        <v>1.15E-2</v>
      </c>
      <c r="D46" s="143" t="s">
        <v>724</v>
      </c>
      <c r="F46" s="13">
        <f>E45*G45</f>
        <v>0.103488</v>
      </c>
    </row>
    <row r="47" spans="1:7" x14ac:dyDescent="0.15">
      <c r="A47" s="105" t="s">
        <v>796</v>
      </c>
      <c r="B47" s="105" t="s">
        <v>695</v>
      </c>
      <c r="C47" s="143"/>
      <c r="D47" s="197">
        <f>C46+F46</f>
        <v>0.11498799999999999</v>
      </c>
    </row>
    <row r="48" spans="1:7" x14ac:dyDescent="0.15">
      <c r="A48" s="234" t="s">
        <v>796</v>
      </c>
      <c r="B48" s="234" t="s">
        <v>695</v>
      </c>
      <c r="C48" s="235">
        <f>D47</f>
        <v>0.11498799999999999</v>
      </c>
    </row>
    <row r="51" spans="1:5" x14ac:dyDescent="0.15">
      <c r="A51" s="190" t="s">
        <v>816</v>
      </c>
      <c r="B51" s="190" t="s">
        <v>814</v>
      </c>
      <c r="C51" s="190" t="s">
        <v>817</v>
      </c>
      <c r="D51" s="190" t="s">
        <v>818</v>
      </c>
      <c r="E51" s="190" t="s">
        <v>819</v>
      </c>
    </row>
    <row r="52" spans="1:5" x14ac:dyDescent="0.15">
      <c r="A52" s="191" t="s">
        <v>813</v>
      </c>
      <c r="B52" s="191">
        <v>0</v>
      </c>
      <c r="C52" s="198">
        <f>C28</f>
        <v>1.15E-2</v>
      </c>
      <c r="D52" s="191"/>
      <c r="E52" s="191"/>
    </row>
    <row r="53" spans="1:5" x14ac:dyDescent="0.15">
      <c r="A53" s="191" t="s">
        <v>809</v>
      </c>
      <c r="B53" s="191">
        <v>1</v>
      </c>
      <c r="C53" s="198">
        <f>$C$52+(B53*($D$53-$C$52))</f>
        <v>6.54E-2</v>
      </c>
      <c r="D53" s="198">
        <f>E34</f>
        <v>6.54E-2</v>
      </c>
      <c r="E53" s="198">
        <f>D53-C53</f>
        <v>0</v>
      </c>
    </row>
    <row r="54" spans="1:5" x14ac:dyDescent="0.15">
      <c r="A54" s="191" t="s">
        <v>836</v>
      </c>
      <c r="B54" s="199">
        <v>1.92</v>
      </c>
      <c r="C54" s="198">
        <f>$C$52+(B54*($D$53-$C$52))</f>
        <v>0.11498799999999999</v>
      </c>
      <c r="D54" s="198">
        <f>'Value Line'!G11</f>
        <v>0.13901763136924861</v>
      </c>
      <c r="E54" s="198">
        <f>D54-C54</f>
        <v>2.4029631369248614E-2</v>
      </c>
    </row>
  </sheetData>
  <pageMargins left="0.7" right="0.7" top="0.75" bottom="0.75" header="0.3" footer="0.3"/>
  <pageSetup scale="71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C0212-4144-4CD4-9AB5-31C6065F3972}">
  <sheetPr>
    <pageSetUpPr fitToPage="1"/>
  </sheetPr>
  <dimension ref="A2:H34"/>
  <sheetViews>
    <sheetView workbookViewId="0">
      <selection activeCell="C20" sqref="C20"/>
    </sheetView>
  </sheetViews>
  <sheetFormatPr baseColWidth="10" defaultColWidth="8.83203125" defaultRowHeight="13" x14ac:dyDescent="0.15"/>
  <cols>
    <col min="1" max="1" width="28.83203125" style="105" bestFit="1" customWidth="1"/>
    <col min="2" max="2" width="8.83203125" style="105"/>
    <col min="3" max="3" width="9.1640625" style="105" bestFit="1" customWidth="1"/>
    <col min="4" max="4" width="15.5" style="105" customWidth="1"/>
    <col min="5" max="5" width="19.83203125" style="105" bestFit="1" customWidth="1"/>
    <col min="6" max="16384" width="8.83203125" style="105"/>
  </cols>
  <sheetData>
    <row r="2" spans="1:8" x14ac:dyDescent="0.15">
      <c r="D2" s="163" t="s">
        <v>820</v>
      </c>
    </row>
    <row r="4" spans="1:8" x14ac:dyDescent="0.15">
      <c r="A4" s="105" t="s">
        <v>821</v>
      </c>
      <c r="B4" s="105" t="s">
        <v>695</v>
      </c>
      <c r="C4" s="13">
        <f>B31</f>
        <v>5.0126666666666674E-2</v>
      </c>
    </row>
    <row r="5" spans="1:8" ht="13.75" customHeight="1" x14ac:dyDescent="0.15">
      <c r="A5" s="105" t="s">
        <v>796</v>
      </c>
      <c r="B5" s="105" t="s">
        <v>695</v>
      </c>
      <c r="C5" s="141">
        <f>'Cost of Equity'!C48</f>
        <v>0.11498799999999999</v>
      </c>
    </row>
    <row r="6" spans="1:8" x14ac:dyDescent="0.15">
      <c r="A6" s="105" t="s">
        <v>822</v>
      </c>
      <c r="B6" s="105" t="s">
        <v>695</v>
      </c>
      <c r="C6" s="141">
        <v>0</v>
      </c>
    </row>
    <row r="7" spans="1:8" x14ac:dyDescent="0.15">
      <c r="A7" s="105" t="s">
        <v>823</v>
      </c>
      <c r="B7" s="105" t="s">
        <v>695</v>
      </c>
      <c r="C7" s="141">
        <v>0.21</v>
      </c>
    </row>
    <row r="9" spans="1:8" x14ac:dyDescent="0.15">
      <c r="C9" s="105" t="s">
        <v>794</v>
      </c>
      <c r="D9" s="105" t="s">
        <v>824</v>
      </c>
      <c r="E9" s="105" t="s">
        <v>825</v>
      </c>
    </row>
    <row r="10" spans="1:8" x14ac:dyDescent="0.15">
      <c r="A10" s="105" t="s">
        <v>826</v>
      </c>
      <c r="B10" s="105" t="s">
        <v>695</v>
      </c>
      <c r="C10" s="123">
        <f>'Value Line'!C16</f>
        <v>12.51</v>
      </c>
      <c r="D10" s="147">
        <f>Ratios!C94*1000</f>
        <v>217900000</v>
      </c>
      <c r="E10" s="151">
        <f>C10*D10</f>
        <v>2725929000</v>
      </c>
    </row>
    <row r="11" spans="1:8" x14ac:dyDescent="0.15">
      <c r="A11" s="105" t="s">
        <v>827</v>
      </c>
      <c r="B11" s="105" t="s">
        <v>695</v>
      </c>
      <c r="E11" s="200">
        <f>'Bal. Sheet'!C74*1000</f>
        <v>2733000000</v>
      </c>
    </row>
    <row r="12" spans="1:8" x14ac:dyDescent="0.15">
      <c r="A12" s="105" t="s">
        <v>828</v>
      </c>
      <c r="B12" s="105" t="s">
        <v>695</v>
      </c>
      <c r="E12" s="153">
        <f>E10+E11</f>
        <v>5458929000</v>
      </c>
    </row>
    <row r="15" spans="1:8" x14ac:dyDescent="0.15">
      <c r="C15" s="105" t="s">
        <v>829</v>
      </c>
      <c r="D15" s="105" t="s">
        <v>821</v>
      </c>
      <c r="E15" s="105" t="s">
        <v>830</v>
      </c>
      <c r="F15" s="105" t="s">
        <v>724</v>
      </c>
      <c r="G15" s="105" t="s">
        <v>831</v>
      </c>
      <c r="H15" s="105" t="s">
        <v>796</v>
      </c>
    </row>
    <row r="16" spans="1:8" x14ac:dyDescent="0.15">
      <c r="A16" s="105" t="s">
        <v>832</v>
      </c>
      <c r="B16" s="105" t="s">
        <v>695</v>
      </c>
      <c r="C16" s="13">
        <f>E11/E12</f>
        <v>0.50064765451245108</v>
      </c>
      <c r="D16" s="141">
        <f>C4</f>
        <v>5.0126666666666674E-2</v>
      </c>
      <c r="E16" s="105" t="s">
        <v>837</v>
      </c>
      <c r="F16" s="105" t="s">
        <v>724</v>
      </c>
      <c r="G16" s="117">
        <f>E10/E12</f>
        <v>0.49935234548754892</v>
      </c>
      <c r="H16" s="141">
        <f>C5</f>
        <v>0.11498799999999999</v>
      </c>
    </row>
    <row r="17" spans="1:7" x14ac:dyDescent="0.15">
      <c r="A17" s="105" t="s">
        <v>832</v>
      </c>
      <c r="B17" s="105" t="s">
        <v>695</v>
      </c>
      <c r="C17" s="141">
        <f>C16</f>
        <v>0.50064765451245108</v>
      </c>
      <c r="D17" s="141">
        <f>D16</f>
        <v>5.0126666666666674E-2</v>
      </c>
      <c r="E17" s="155">
        <f>1-C7</f>
        <v>0.79</v>
      </c>
      <c r="F17" s="105" t="s">
        <v>724</v>
      </c>
      <c r="G17" s="13">
        <f>G16*H16</f>
        <v>5.7419527502922271E-2</v>
      </c>
    </row>
    <row r="18" spans="1:7" x14ac:dyDescent="0.15">
      <c r="A18" s="105" t="s">
        <v>832</v>
      </c>
      <c r="B18" s="105" t="s">
        <v>695</v>
      </c>
      <c r="C18" s="141">
        <f>C17</f>
        <v>0.50064765451245108</v>
      </c>
      <c r="D18" s="13">
        <f>D17*E17</f>
        <v>3.9600066666666676E-2</v>
      </c>
      <c r="E18" s="155"/>
      <c r="F18" s="105" t="s">
        <v>724</v>
      </c>
      <c r="G18" s="141">
        <f>G17</f>
        <v>5.7419527502922271E-2</v>
      </c>
    </row>
    <row r="19" spans="1:7" x14ac:dyDescent="0.15">
      <c r="A19" s="105" t="s">
        <v>832</v>
      </c>
      <c r="B19" s="105" t="s">
        <v>695</v>
      </c>
      <c r="D19" s="141">
        <f>C18*D18</f>
        <v>1.982568049520337E-2</v>
      </c>
      <c r="E19" s="155"/>
      <c r="F19" s="105" t="s">
        <v>724</v>
      </c>
      <c r="G19" s="141">
        <f>G18</f>
        <v>5.7419527502922271E-2</v>
      </c>
    </row>
    <row r="20" spans="1:7" x14ac:dyDescent="0.15">
      <c r="A20" s="234" t="str">
        <f>A19</f>
        <v>WACC</v>
      </c>
      <c r="B20" s="234" t="s">
        <v>695</v>
      </c>
      <c r="C20" s="237">
        <f>D19+G19</f>
        <v>7.7245207998125648E-2</v>
      </c>
    </row>
    <row r="23" spans="1:7" x14ac:dyDescent="0.15">
      <c r="A23" s="105" t="s">
        <v>918</v>
      </c>
      <c r="B23" s="194">
        <f>AVERAGE(B24:B28)</f>
        <v>4.0960000000000003E-2</v>
      </c>
      <c r="D23" s="229"/>
    </row>
    <row r="24" spans="1:7" x14ac:dyDescent="0.15">
      <c r="A24" s="105" t="s">
        <v>914</v>
      </c>
      <c r="B24" s="117">
        <f>0.5%+1.75%</f>
        <v>2.2500000000000003E-2</v>
      </c>
    </row>
    <row r="25" spans="1:7" x14ac:dyDescent="0.15">
      <c r="B25" s="141">
        <v>3.2399999999999998E-2</v>
      </c>
    </row>
    <row r="26" spans="1:7" x14ac:dyDescent="0.15">
      <c r="B26" s="141">
        <v>5.8749999999999997E-2</v>
      </c>
    </row>
    <row r="27" spans="1:7" x14ac:dyDescent="0.15">
      <c r="B27" s="141">
        <v>6.3750000000000001E-2</v>
      </c>
    </row>
    <row r="28" spans="1:7" x14ac:dyDescent="0.15">
      <c r="B28" s="141">
        <v>2.7400000000000001E-2</v>
      </c>
    </row>
    <row r="29" spans="1:7" x14ac:dyDescent="0.15">
      <c r="B29" s="141"/>
    </row>
    <row r="30" spans="1:7" x14ac:dyDescent="0.15">
      <c r="A30" s="105" t="s">
        <v>919</v>
      </c>
    </row>
    <row r="31" spans="1:7" x14ac:dyDescent="0.15">
      <c r="A31" s="105" t="s">
        <v>920</v>
      </c>
      <c r="B31" s="98">
        <f>AVERAGE(B32:B34)</f>
        <v>5.0126666666666674E-2</v>
      </c>
    </row>
    <row r="32" spans="1:7" x14ac:dyDescent="0.15">
      <c r="B32" s="141">
        <v>4.3740000000000001E-2</v>
      </c>
    </row>
    <row r="33" spans="2:2" x14ac:dyDescent="0.15">
      <c r="B33" s="141">
        <v>4.7899999999999998E-2</v>
      </c>
    </row>
    <row r="34" spans="2:2" x14ac:dyDescent="0.15">
      <c r="B34" s="141">
        <v>5.8740000000000001E-2</v>
      </c>
    </row>
  </sheetData>
  <pageMargins left="0.7" right="0.7" top="0.75" bottom="0.75" header="0.3" footer="0.3"/>
  <pageSetup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D4B5C-8582-4393-9FF9-15385D2EEE74}">
  <dimension ref="A1:L27"/>
  <sheetViews>
    <sheetView workbookViewId="0">
      <selection activeCell="B3" sqref="B3"/>
    </sheetView>
  </sheetViews>
  <sheetFormatPr baseColWidth="10" defaultColWidth="8.83203125" defaultRowHeight="13" x14ac:dyDescent="0.15"/>
  <cols>
    <col min="1" max="1" width="25.6640625" bestFit="1" customWidth="1"/>
    <col min="6" max="6" width="8.5" bestFit="1" customWidth="1"/>
  </cols>
  <sheetData>
    <row r="1" spans="1:12" x14ac:dyDescent="0.15">
      <c r="A1" s="14" t="s">
        <v>154</v>
      </c>
      <c r="B1" s="14">
        <v>2019</v>
      </c>
      <c r="C1" s="14">
        <v>2018</v>
      </c>
      <c r="D1" s="14">
        <v>2017</v>
      </c>
      <c r="E1" s="14">
        <v>2016</v>
      </c>
      <c r="F1" s="14">
        <v>2015</v>
      </c>
    </row>
    <row r="2" spans="1:12" x14ac:dyDescent="0.15">
      <c r="A2" s="51" t="s">
        <v>155</v>
      </c>
      <c r="B2" s="30">
        <f>'Industry Data'!AA4</f>
        <v>0.44926842105263154</v>
      </c>
      <c r="C2" s="30">
        <f>'Industry Data'!AB4</f>
        <v>0.45627368421052644</v>
      </c>
      <c r="D2" s="30">
        <f>'Industry Data'!AC4</f>
        <v>0.4540820512820512</v>
      </c>
      <c r="E2" s="30">
        <f>'Industry Data'!AD4</f>
        <v>0.45683000000000001</v>
      </c>
      <c r="F2" s="30">
        <f>'Industry Data'!AE4</f>
        <v>0.46651052631578943</v>
      </c>
    </row>
    <row r="3" spans="1:12" x14ac:dyDescent="0.15">
      <c r="A3" s="29" t="s">
        <v>157</v>
      </c>
      <c r="B3" s="30">
        <f>'Industry Data'!BE4</f>
        <v>8.3266666666666656E-2</v>
      </c>
      <c r="C3" s="30">
        <f>'Industry Data'!BF4</f>
        <v>0.10515897435897434</v>
      </c>
      <c r="D3" s="30">
        <f>'Industry Data'!BG4</f>
        <v>0.1077375</v>
      </c>
      <c r="E3" s="30">
        <f>'Industry Data'!BH4</f>
        <v>0.11708000000000002</v>
      </c>
      <c r="F3" s="30">
        <f>'Industry Data'!BI4</f>
        <v>0.10187631578947372</v>
      </c>
    </row>
    <row r="4" spans="1:12" x14ac:dyDescent="0.15">
      <c r="A4" s="29" t="s">
        <v>161</v>
      </c>
      <c r="B4" s="30"/>
      <c r="C4" s="30"/>
      <c r="D4" s="30"/>
      <c r="E4" s="30"/>
      <c r="F4" s="30"/>
    </row>
    <row r="5" spans="1:12" x14ac:dyDescent="0.15">
      <c r="A5" s="51" t="s">
        <v>294</v>
      </c>
      <c r="B5" s="30">
        <f>'Industry Data'!U4</f>
        <v>0.15120769230769232</v>
      </c>
      <c r="C5" s="30">
        <f>'Industry Data'!V4</f>
        <v>0.1689128205128205</v>
      </c>
      <c r="D5" s="30">
        <f>'Industry Data'!W4</f>
        <v>0.17878999999999995</v>
      </c>
      <c r="E5" s="30">
        <f>'Industry Data'!X4</f>
        <v>0.16677500000000001</v>
      </c>
      <c r="F5" s="30">
        <f>'Industry Data'!Y4</f>
        <v>0.15312631578947372</v>
      </c>
    </row>
    <row r="6" spans="1:12" x14ac:dyDescent="0.15">
      <c r="A6" s="29" t="s">
        <v>156</v>
      </c>
      <c r="B6" s="30">
        <f>'Industry Data'!AY4</f>
        <v>5.3182051282051272E-2</v>
      </c>
      <c r="C6" s="30">
        <f>'Industry Data'!AZ4</f>
        <v>7.5102564102564107E-2</v>
      </c>
      <c r="D6" s="30">
        <f>'Industry Data'!BA4</f>
        <v>0.10917500000000001</v>
      </c>
      <c r="E6" s="30">
        <f>'Industry Data'!BB4</f>
        <v>7.1500000000000008E-2</v>
      </c>
      <c r="F6" s="30">
        <f>'Industry Data'!BC4</f>
        <v>5.6000000000000008E-2</v>
      </c>
    </row>
    <row r="7" spans="1:12" x14ac:dyDescent="0.15">
      <c r="A7" s="39"/>
      <c r="B7" s="40"/>
      <c r="C7" s="40"/>
      <c r="D7" s="40"/>
      <c r="E7" s="40"/>
      <c r="F7" s="40"/>
    </row>
    <row r="8" spans="1:12" x14ac:dyDescent="0.15">
      <c r="A8" s="38" t="s">
        <v>166</v>
      </c>
      <c r="B8" s="30">
        <f>'Industry Data'!BQ4</f>
        <v>3.0620512820512813E-2</v>
      </c>
      <c r="C8" s="30">
        <f>'Industry Data'!BR4</f>
        <v>4.1817948717948722E-2</v>
      </c>
      <c r="D8" s="30">
        <f>'Industry Data'!BS4</f>
        <v>5.0031578947368448E-2</v>
      </c>
      <c r="E8" s="30">
        <f>'Industry Data'!BT4</f>
        <v>3.369459459459459E-2</v>
      </c>
      <c r="F8" s="30">
        <f>'Industry Data'!BU4</f>
        <v>3.8191666666666658E-2</v>
      </c>
      <c r="H8" s="31"/>
    </row>
    <row r="9" spans="1:12" x14ac:dyDescent="0.15">
      <c r="A9" s="38" t="s">
        <v>167</v>
      </c>
      <c r="B9" s="30">
        <f>'Industry Data'!BW4</f>
        <v>7.4102777777777795E-2</v>
      </c>
      <c r="C9" s="30">
        <f>'Industry Data'!BX4</f>
        <v>0.11221111111111112</v>
      </c>
      <c r="D9" s="30">
        <f>'Industry Data'!BY4</f>
        <v>0.12018285714285719</v>
      </c>
      <c r="E9" s="30">
        <f>'Industry Data'!BZ4</f>
        <v>9.6238235294117652E-2</v>
      </c>
      <c r="F9" s="30">
        <f>'Industry Data'!CA4</f>
        <v>0.13126470588235292</v>
      </c>
      <c r="H9" s="10"/>
      <c r="I9" s="10"/>
      <c r="J9" s="10"/>
      <c r="K9" s="10"/>
      <c r="L9" s="10"/>
    </row>
    <row r="11" spans="1:12" x14ac:dyDescent="0.15">
      <c r="A11" s="35" t="s">
        <v>168</v>
      </c>
    </row>
    <row r="12" spans="1:12" x14ac:dyDescent="0.15">
      <c r="A12" s="51" t="s">
        <v>169</v>
      </c>
      <c r="B12" s="30">
        <f>B13/(1+B13)</f>
        <v>0.53660797034291008</v>
      </c>
      <c r="C12" s="30">
        <f>C13/(1+C13)</f>
        <v>0.53370072064434071</v>
      </c>
      <c r="D12" s="30">
        <f>D13/(1+D13)</f>
        <v>0.60666358167515044</v>
      </c>
      <c r="E12" s="30">
        <f>E13/(1+E13)</f>
        <v>0.55079931298718454</v>
      </c>
      <c r="F12" s="30">
        <f>F13/(1+F13)</f>
        <v>0.57153985977668131</v>
      </c>
    </row>
    <row r="13" spans="1:12" x14ac:dyDescent="0.15">
      <c r="A13" s="51" t="s">
        <v>170</v>
      </c>
      <c r="B13" s="30">
        <f>'Industry Data'!CU4</f>
        <v>1.1580000000000001</v>
      </c>
      <c r="C13" s="30">
        <f>'Industry Data'!CV4</f>
        <v>1.1445454545454543</v>
      </c>
      <c r="D13" s="30">
        <f>'Industry Data'!CW4</f>
        <v>1.5423529411764707</v>
      </c>
      <c r="E13" s="30">
        <f>'Industry Data'!CX4</f>
        <v>1.2261764705882352</v>
      </c>
      <c r="F13" s="30">
        <f>'Industry Data'!CY4</f>
        <v>1.3339393939393938</v>
      </c>
    </row>
    <row r="14" spans="1:12" x14ac:dyDescent="0.15">
      <c r="A14" s="51" t="s">
        <v>171</v>
      </c>
      <c r="B14" s="53">
        <f>'Industry Data'!AG4</f>
        <v>7.7459090909090911</v>
      </c>
      <c r="C14" s="53">
        <f>'Industry Data'!AH4</f>
        <v>10.842727272727274</v>
      </c>
      <c r="D14" s="53">
        <f>'Industry Data'!AI4</f>
        <v>12.389999999999999</v>
      </c>
      <c r="E14" s="53">
        <f>'Industry Data'!AJ4</f>
        <v>12.639615384615386</v>
      </c>
      <c r="F14" s="53">
        <f>'Industry Data'!AK4</f>
        <v>9.9362500000000011</v>
      </c>
    </row>
    <row r="16" spans="1:12" x14ac:dyDescent="0.15">
      <c r="A16" s="35" t="s">
        <v>172</v>
      </c>
    </row>
    <row r="17" spans="1:7" x14ac:dyDescent="0.15">
      <c r="A17" s="51" t="s">
        <v>175</v>
      </c>
      <c r="B17" s="57">
        <f>'Industry Data'!I4</f>
        <v>1.9020512820512823</v>
      </c>
      <c r="C17" s="57">
        <f>'Industry Data'!J4</f>
        <v>2.0335897435897432</v>
      </c>
      <c r="D17" s="57">
        <f>'Industry Data'!K4</f>
        <v>2.1109999999999998</v>
      </c>
      <c r="E17" s="57">
        <f>'Industry Data'!L4</f>
        <v>1.9346153846153844</v>
      </c>
      <c r="F17" s="57">
        <f>'Industry Data'!M4</f>
        <v>1.8894736842105262</v>
      </c>
    </row>
    <row r="18" spans="1:7" x14ac:dyDescent="0.15">
      <c r="A18" s="51" t="s">
        <v>176</v>
      </c>
      <c r="B18" s="57">
        <f>'Industry Data'!BK4</f>
        <v>1.5082051282051283</v>
      </c>
      <c r="C18" s="57">
        <f>'Industry Data'!BL4</f>
        <v>1.6405128205128208</v>
      </c>
      <c r="D18" s="57">
        <f>'Industry Data'!BM4</f>
        <v>1.5812499999999998</v>
      </c>
      <c r="E18" s="57">
        <f>'Industry Data'!BN4</f>
        <v>1.518974358974359</v>
      </c>
      <c r="F18" s="57">
        <f>'Industry Data'!BO4</f>
        <v>1.4307894736842104</v>
      </c>
      <c r="G18" s="116"/>
    </row>
    <row r="20" spans="1:7" x14ac:dyDescent="0.15">
      <c r="A20" s="35" t="s">
        <v>177</v>
      </c>
    </row>
    <row r="21" spans="1:7" x14ac:dyDescent="0.15">
      <c r="A21" s="51" t="s">
        <v>179</v>
      </c>
      <c r="B21" s="54">
        <f>'Industry Data'!AM4</f>
        <v>19.429583333333333</v>
      </c>
      <c r="C21" s="54">
        <f>'Industry Data'!AN4</f>
        <v>16.343043478260871</v>
      </c>
      <c r="D21" s="54">
        <f>'Industry Data'!AO4</f>
        <v>17.411739130434785</v>
      </c>
      <c r="E21" s="54">
        <f>'Industry Data'!AP4</f>
        <v>24.397272727272721</v>
      </c>
      <c r="F21" s="54">
        <f>'Industry Data'!AQ4</f>
        <v>24.889545454545463</v>
      </c>
    </row>
    <row r="22" spans="1:7" x14ac:dyDescent="0.15">
      <c r="A22" s="118" t="s">
        <v>180</v>
      </c>
      <c r="B22" s="119">
        <f>360/9.3</f>
        <v>38.709677419354833</v>
      </c>
      <c r="C22" s="119">
        <f>360/12.4</f>
        <v>29.032258064516128</v>
      </c>
      <c r="D22" s="119">
        <f>360/12.1</f>
        <v>29.75206611570248</v>
      </c>
      <c r="E22" s="119">
        <f>360/12.4</f>
        <v>29.032258064516128</v>
      </c>
      <c r="F22" s="119">
        <f>360/12.9</f>
        <v>27.906976744186046</v>
      </c>
    </row>
    <row r="23" spans="1:7" x14ac:dyDescent="0.15">
      <c r="A23" s="118" t="s">
        <v>181</v>
      </c>
      <c r="B23" s="119">
        <f>365/9.3</f>
        <v>39.247311827956985</v>
      </c>
      <c r="C23" s="119">
        <f>365/12.4</f>
        <v>29.43548387096774</v>
      </c>
      <c r="D23" s="119">
        <f>365/12.1</f>
        <v>30.165289256198349</v>
      </c>
      <c r="E23" s="119">
        <f>365/12.4</f>
        <v>29.43548387096774</v>
      </c>
      <c r="F23" s="119">
        <f>365/12.9</f>
        <v>28.294573643410853</v>
      </c>
    </row>
    <row r="24" spans="1:7" x14ac:dyDescent="0.15">
      <c r="A24" s="34" t="s">
        <v>182</v>
      </c>
      <c r="B24" s="54">
        <f>'Industry Data'!AS4</f>
        <v>15.894102564102564</v>
      </c>
      <c r="C24" s="54">
        <f>'Industry Data'!AT4</f>
        <v>15.486153846153844</v>
      </c>
      <c r="D24" s="54">
        <f>'Industry Data'!AU4</f>
        <v>13.820263157894736</v>
      </c>
      <c r="E24" s="54">
        <f>'Industry Data'!AV4</f>
        <v>15.05432432432433</v>
      </c>
      <c r="F24" s="54">
        <f>'Industry Data'!AW4</f>
        <v>14.490555555555552</v>
      </c>
    </row>
    <row r="25" spans="1:7" x14ac:dyDescent="0.15">
      <c r="A25" s="51" t="s">
        <v>183</v>
      </c>
      <c r="B25" s="54">
        <f>'Industry Data'!CI4</f>
        <v>0.64794871794871789</v>
      </c>
      <c r="C25" s="54">
        <f>'Industry Data'!CJ4</f>
        <v>0.6661538461538461</v>
      </c>
      <c r="D25" s="54">
        <f>'Industry Data'!CK4</f>
        <v>0.67815789473684207</v>
      </c>
      <c r="E25" s="54">
        <f>'Industry Data'!CL4</f>
        <v>0.68243243243243268</v>
      </c>
      <c r="F25" s="54">
        <f>'Industry Data'!CM4</f>
        <v>0.65194444444444433</v>
      </c>
    </row>
    <row r="27" spans="1:7" x14ac:dyDescent="0.15">
      <c r="A27" s="120" t="s">
        <v>652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409E3-9CFB-4060-AAF5-EE4375DB46A7}">
  <dimension ref="A1:CA185"/>
  <sheetViews>
    <sheetView topLeftCell="A151" workbookViewId="0">
      <selection activeCell="C163" sqref="C163"/>
    </sheetView>
  </sheetViews>
  <sheetFormatPr baseColWidth="10" defaultColWidth="8.83203125" defaultRowHeight="13" x14ac:dyDescent="0.15"/>
  <cols>
    <col min="1" max="1" width="30" style="105" customWidth="1"/>
    <col min="2" max="2" width="22.33203125" style="105" customWidth="1"/>
    <col min="3" max="31" width="18.83203125" style="105" bestFit="1" customWidth="1"/>
    <col min="32" max="37" width="17.83203125" style="105" bestFit="1" customWidth="1"/>
    <col min="38" max="38" width="19.83203125" style="105" bestFit="1" customWidth="1"/>
    <col min="39" max="39" width="18.83203125" style="105" bestFit="1" customWidth="1"/>
    <col min="40" max="40" width="19.83203125" style="105" bestFit="1" customWidth="1"/>
    <col min="41" max="47" width="18.83203125" style="105" bestFit="1" customWidth="1"/>
    <col min="48" max="48" width="17.83203125" style="105" bestFit="1" customWidth="1"/>
    <col min="49" max="49" width="18.5" style="105" bestFit="1" customWidth="1"/>
    <col min="50" max="61" width="18.83203125" style="105" bestFit="1" customWidth="1"/>
    <col min="62" max="75" width="19.83203125" style="105" bestFit="1" customWidth="1"/>
    <col min="76" max="79" width="18.83203125" style="105" bestFit="1" customWidth="1"/>
    <col min="80" max="16384" width="8.83203125" style="105"/>
  </cols>
  <sheetData>
    <row r="1" spans="1:79" ht="20" hidden="1" x14ac:dyDescent="0.2">
      <c r="A1" s="113"/>
    </row>
    <row r="2" spans="1:79" hidden="1" x14ac:dyDescent="0.15"/>
    <row r="3" spans="1:79" ht="28" hidden="1" x14ac:dyDescent="0.15">
      <c r="A3" s="112" t="s">
        <v>572</v>
      </c>
    </row>
    <row r="4" spans="1:79" hidden="1" x14ac:dyDescent="0.15">
      <c r="B4" s="105" t="s">
        <v>664</v>
      </c>
    </row>
    <row r="5" spans="1:79" ht="28" hidden="1" x14ac:dyDescent="0.15">
      <c r="A5" s="111" t="s">
        <v>571</v>
      </c>
      <c r="B5" s="110" t="s">
        <v>650</v>
      </c>
      <c r="C5" s="110" t="s">
        <v>649</v>
      </c>
      <c r="D5" s="110" t="s">
        <v>648</v>
      </c>
      <c r="E5" s="110" t="s">
        <v>647</v>
      </c>
      <c r="F5" s="110" t="s">
        <v>646</v>
      </c>
      <c r="G5" s="110" t="s">
        <v>645</v>
      </c>
      <c r="H5" s="110" t="s">
        <v>644</v>
      </c>
      <c r="I5" s="110" t="s">
        <v>643</v>
      </c>
      <c r="J5" s="110" t="s">
        <v>642</v>
      </c>
      <c r="K5" s="110" t="s">
        <v>641</v>
      </c>
      <c r="L5" s="110" t="s">
        <v>640</v>
      </c>
      <c r="M5" s="110" t="s">
        <v>639</v>
      </c>
      <c r="N5" s="110" t="s">
        <v>638</v>
      </c>
      <c r="O5" s="110" t="s">
        <v>637</v>
      </c>
      <c r="P5" s="110" t="s">
        <v>636</v>
      </c>
      <c r="Q5" s="110" t="s">
        <v>635</v>
      </c>
      <c r="R5" s="110" t="s">
        <v>634</v>
      </c>
      <c r="S5" s="110" t="s">
        <v>633</v>
      </c>
      <c r="T5" s="110" t="s">
        <v>632</v>
      </c>
      <c r="U5" s="110" t="s">
        <v>631</v>
      </c>
      <c r="V5" s="110" t="s">
        <v>630</v>
      </c>
      <c r="W5" s="110" t="s">
        <v>629</v>
      </c>
      <c r="X5" s="110" t="s">
        <v>628</v>
      </c>
      <c r="Y5" s="110" t="s">
        <v>627</v>
      </c>
      <c r="Z5" s="110" t="s">
        <v>626</v>
      </c>
      <c r="AA5" s="110" t="s">
        <v>625</v>
      </c>
      <c r="AB5" s="110" t="s">
        <v>624</v>
      </c>
      <c r="AC5" s="110" t="s">
        <v>623</v>
      </c>
      <c r="AD5" s="110" t="s">
        <v>622</v>
      </c>
      <c r="AE5" s="110" t="s">
        <v>621</v>
      </c>
      <c r="AF5" s="110" t="s">
        <v>620</v>
      </c>
      <c r="AG5" s="110" t="s">
        <v>619</v>
      </c>
      <c r="AH5" s="110" t="s">
        <v>618</v>
      </c>
      <c r="AI5" s="110" t="s">
        <v>617</v>
      </c>
      <c r="AJ5" s="110" t="s">
        <v>616</v>
      </c>
      <c r="AK5" s="110" t="s">
        <v>615</v>
      </c>
      <c r="AL5" s="110" t="s">
        <v>614</v>
      </c>
      <c r="AM5" s="110" t="s">
        <v>613</v>
      </c>
      <c r="AN5" s="110" t="s">
        <v>612</v>
      </c>
      <c r="AO5" s="110" t="s">
        <v>611</v>
      </c>
      <c r="AP5" s="110" t="s">
        <v>610</v>
      </c>
      <c r="AQ5" s="110" t="s">
        <v>609</v>
      </c>
      <c r="AR5" s="110" t="s">
        <v>608</v>
      </c>
      <c r="AS5" s="110" t="s">
        <v>607</v>
      </c>
      <c r="AT5" s="110" t="s">
        <v>606</v>
      </c>
      <c r="AU5" s="110" t="s">
        <v>605</v>
      </c>
      <c r="AV5" s="110" t="s">
        <v>604</v>
      </c>
      <c r="AW5" s="110" t="s">
        <v>603</v>
      </c>
      <c r="AX5" s="110" t="s">
        <v>602</v>
      </c>
      <c r="AY5" s="110" t="s">
        <v>601</v>
      </c>
      <c r="AZ5" s="110" t="s">
        <v>600</v>
      </c>
      <c r="BA5" s="110" t="s">
        <v>599</v>
      </c>
      <c r="BB5" s="110" t="s">
        <v>598</v>
      </c>
      <c r="BC5" s="110" t="s">
        <v>597</v>
      </c>
      <c r="BD5" s="110" t="s">
        <v>596</v>
      </c>
      <c r="BE5" s="110" t="s">
        <v>595</v>
      </c>
      <c r="BF5" s="110" t="s">
        <v>594</v>
      </c>
      <c r="BG5" s="110" t="s">
        <v>593</v>
      </c>
      <c r="BH5" s="110" t="s">
        <v>592</v>
      </c>
      <c r="BI5" s="110" t="s">
        <v>591</v>
      </c>
      <c r="BJ5" s="110" t="s">
        <v>590</v>
      </c>
      <c r="BK5" s="110" t="s">
        <v>589</v>
      </c>
      <c r="BL5" s="110" t="s">
        <v>588</v>
      </c>
      <c r="BM5" s="110" t="s">
        <v>587</v>
      </c>
      <c r="BN5" s="110" t="s">
        <v>586</v>
      </c>
      <c r="BO5" s="110" t="s">
        <v>585</v>
      </c>
      <c r="BP5" s="110" t="s">
        <v>584</v>
      </c>
      <c r="BQ5" s="110" t="s">
        <v>583</v>
      </c>
      <c r="BR5" s="110" t="s">
        <v>582</v>
      </c>
      <c r="BS5" s="110" t="s">
        <v>581</v>
      </c>
      <c r="BT5" s="110" t="s">
        <v>580</v>
      </c>
      <c r="BU5" s="110" t="s">
        <v>579</v>
      </c>
      <c r="BV5" s="110" t="s">
        <v>578</v>
      </c>
      <c r="BW5" s="110" t="s">
        <v>577</v>
      </c>
      <c r="BX5" s="110" t="s">
        <v>576</v>
      </c>
      <c r="BY5" s="110" t="s">
        <v>575</v>
      </c>
      <c r="BZ5" s="110" t="s">
        <v>574</v>
      </c>
      <c r="CA5" s="110" t="s">
        <v>573</v>
      </c>
    </row>
    <row r="6" spans="1:79" hidden="1" x14ac:dyDescent="0.15">
      <c r="A6" s="109" t="s">
        <v>368</v>
      </c>
      <c r="B6" s="114" t="s">
        <v>24</v>
      </c>
      <c r="C6" s="115">
        <v>483748000</v>
      </c>
      <c r="D6" s="115">
        <v>606547000</v>
      </c>
      <c r="E6" s="115">
        <v>385729000</v>
      </c>
      <c r="F6" s="115">
        <v>514325000</v>
      </c>
      <c r="G6" s="115">
        <v>370039000</v>
      </c>
      <c r="H6" s="114" t="s">
        <v>24</v>
      </c>
      <c r="I6" s="115">
        <v>2330297000</v>
      </c>
      <c r="J6" s="115">
        <v>1963411000</v>
      </c>
      <c r="K6" s="115">
        <v>1879850000</v>
      </c>
      <c r="L6" s="115">
        <v>1696343000</v>
      </c>
      <c r="M6" s="115">
        <v>1537338000</v>
      </c>
      <c r="N6" s="114" t="s">
        <v>24</v>
      </c>
      <c r="O6" s="115">
        <v>804342000</v>
      </c>
      <c r="P6" s="115">
        <v>797421000</v>
      </c>
      <c r="Q6" s="115">
        <v>744102000</v>
      </c>
      <c r="R6" s="115">
        <v>954178000</v>
      </c>
      <c r="S6" s="115">
        <v>830921000</v>
      </c>
      <c r="T6" s="114" t="s">
        <v>24</v>
      </c>
      <c r="U6" s="115">
        <v>486186000</v>
      </c>
      <c r="V6" s="115">
        <v>620273000</v>
      </c>
      <c r="W6" s="115">
        <v>640378000</v>
      </c>
      <c r="X6" s="115">
        <v>454825000</v>
      </c>
      <c r="Y6" s="115">
        <v>582794000</v>
      </c>
      <c r="Z6" s="114" t="s">
        <v>24</v>
      </c>
      <c r="AA6" s="115">
        <v>674177000</v>
      </c>
      <c r="AB6" s="115">
        <v>804386000</v>
      </c>
      <c r="AC6" s="115">
        <v>807275000</v>
      </c>
      <c r="AD6" s="115">
        <v>619601000</v>
      </c>
      <c r="AE6" s="115">
        <v>749539000</v>
      </c>
      <c r="AF6" s="114" t="s">
        <v>24</v>
      </c>
      <c r="AG6" s="114" t="s">
        <v>24</v>
      </c>
      <c r="AH6" s="114" t="s">
        <v>24</v>
      </c>
      <c r="AI6" s="114" t="s">
        <v>24</v>
      </c>
      <c r="AJ6" s="114" t="s">
        <v>24</v>
      </c>
      <c r="AK6" s="114" t="s">
        <v>24</v>
      </c>
      <c r="AL6" s="114" t="s">
        <v>24</v>
      </c>
      <c r="AM6" s="115">
        <v>3039979000</v>
      </c>
      <c r="AN6" s="115">
        <v>3109648000</v>
      </c>
      <c r="AO6" s="115">
        <v>3125534000</v>
      </c>
      <c r="AP6" s="115">
        <v>2632545000</v>
      </c>
      <c r="AQ6" s="115">
        <v>2549587000</v>
      </c>
      <c r="AR6" s="114" t="s">
        <v>24</v>
      </c>
      <c r="AS6" s="115">
        <v>380486000</v>
      </c>
      <c r="AT6" s="115">
        <v>446187000</v>
      </c>
      <c r="AU6" s="115">
        <v>471316000</v>
      </c>
      <c r="AV6" s="115">
        <v>270510000</v>
      </c>
      <c r="AW6" s="115">
        <v>366788000</v>
      </c>
      <c r="AX6" s="114" t="s">
        <v>24</v>
      </c>
      <c r="AY6" s="115">
        <v>283752000</v>
      </c>
      <c r="AZ6" s="115">
        <v>246262000</v>
      </c>
      <c r="BA6" s="115">
        <v>183514000</v>
      </c>
      <c r="BB6" s="115">
        <v>166636000</v>
      </c>
      <c r="BC6" s="115">
        <v>163860000</v>
      </c>
      <c r="BD6" s="114" t="s">
        <v>24</v>
      </c>
      <c r="BE6" s="115">
        <v>625277000</v>
      </c>
      <c r="BF6" s="115">
        <v>726909000</v>
      </c>
      <c r="BG6" s="115">
        <v>722359000</v>
      </c>
      <c r="BH6" s="115">
        <v>657556000</v>
      </c>
      <c r="BI6" s="115">
        <v>709193000</v>
      </c>
      <c r="BJ6" s="114" t="s">
        <v>24</v>
      </c>
      <c r="BK6" s="115">
        <v>5596686000</v>
      </c>
      <c r="BL6" s="115">
        <v>5278563000</v>
      </c>
      <c r="BM6" s="115">
        <v>5032985000</v>
      </c>
      <c r="BN6" s="115">
        <v>4480595000</v>
      </c>
      <c r="BO6" s="115">
        <v>4264915000</v>
      </c>
      <c r="BP6" s="114" t="s">
        <v>24</v>
      </c>
      <c r="BQ6" s="115">
        <v>4930905000</v>
      </c>
      <c r="BR6" s="115">
        <v>4961883000</v>
      </c>
      <c r="BS6" s="115">
        <v>4898041000</v>
      </c>
      <c r="BT6" s="115">
        <v>4510677000</v>
      </c>
      <c r="BU6" s="115">
        <v>4304192000</v>
      </c>
      <c r="BV6" s="114" t="s">
        <v>24</v>
      </c>
      <c r="BW6" s="115">
        <v>3060321000</v>
      </c>
      <c r="BX6" s="115">
        <v>2971929000</v>
      </c>
      <c r="BY6" s="115">
        <v>2805691000</v>
      </c>
      <c r="BZ6" s="115">
        <v>2755654000</v>
      </c>
      <c r="CA6" s="115">
        <v>2580935000</v>
      </c>
    </row>
    <row r="7" spans="1:79" hidden="1" x14ac:dyDescent="0.15">
      <c r="A7" s="109" t="s">
        <v>364</v>
      </c>
      <c r="B7" s="115">
        <v>24737000000</v>
      </c>
      <c r="C7" s="115">
        <v>25697000000</v>
      </c>
      <c r="D7" s="115">
        <v>24297000000</v>
      </c>
      <c r="E7" s="115">
        <v>21403000000</v>
      </c>
      <c r="F7" s="115">
        <v>19240000000</v>
      </c>
      <c r="G7" s="115">
        <v>18778000000</v>
      </c>
      <c r="H7" s="115">
        <v>26741000000</v>
      </c>
      <c r="I7" s="115">
        <v>25392000000</v>
      </c>
      <c r="J7" s="115">
        <v>21848000000</v>
      </c>
      <c r="K7" s="115">
        <v>16060000000</v>
      </c>
      <c r="L7" s="115">
        <v>16361000000</v>
      </c>
      <c r="M7" s="115">
        <v>12303000000</v>
      </c>
      <c r="N7" s="115">
        <v>28796000000</v>
      </c>
      <c r="O7" s="115">
        <v>30292000000</v>
      </c>
      <c r="P7" s="115">
        <v>27603000000</v>
      </c>
      <c r="Q7" s="115">
        <v>21561000000</v>
      </c>
      <c r="R7" s="115">
        <v>21535000000</v>
      </c>
      <c r="S7" s="115">
        <v>18178000000</v>
      </c>
      <c r="T7" s="115">
        <v>14065000000</v>
      </c>
      <c r="U7" s="115">
        <v>16996000000</v>
      </c>
      <c r="V7" s="115">
        <v>15242000000</v>
      </c>
      <c r="W7" s="115">
        <v>15215000000</v>
      </c>
      <c r="X7" s="115">
        <v>14457000000</v>
      </c>
      <c r="Y7" s="115">
        <v>13697000000</v>
      </c>
      <c r="Z7" s="115">
        <v>26973000000</v>
      </c>
      <c r="AA7" s="115">
        <v>30226000000</v>
      </c>
      <c r="AB7" s="115">
        <v>27065000000</v>
      </c>
      <c r="AC7" s="115">
        <v>26079000000</v>
      </c>
      <c r="AD7" s="115">
        <v>24740000000</v>
      </c>
      <c r="AE7" s="115">
        <v>23065000000</v>
      </c>
      <c r="AF7" s="114" t="s">
        <v>24</v>
      </c>
      <c r="AG7" s="114" t="s">
        <v>24</v>
      </c>
      <c r="AH7" s="114" t="s">
        <v>24</v>
      </c>
      <c r="AI7" s="114" t="s">
        <v>24</v>
      </c>
      <c r="AJ7" s="114" t="s">
        <v>24</v>
      </c>
      <c r="AK7" s="114" t="s">
        <v>24</v>
      </c>
      <c r="AL7" s="115">
        <v>100614000000</v>
      </c>
      <c r="AM7" s="115">
        <v>97765000000</v>
      </c>
      <c r="AN7" s="115">
        <v>107345000000</v>
      </c>
      <c r="AO7" s="115">
        <v>59422000000</v>
      </c>
      <c r="AP7" s="115">
        <v>55566000000</v>
      </c>
      <c r="AQ7" s="115">
        <v>48994000000</v>
      </c>
      <c r="AR7" s="115">
        <v>10534000000</v>
      </c>
      <c r="AS7" s="115">
        <v>13057000000</v>
      </c>
      <c r="AT7" s="115">
        <v>11731000000</v>
      </c>
      <c r="AU7" s="115">
        <v>22714000000</v>
      </c>
      <c r="AV7" s="115">
        <v>8695000000</v>
      </c>
      <c r="AW7" s="115">
        <v>8163000000</v>
      </c>
      <c r="AX7" s="115">
        <v>51995000000</v>
      </c>
      <c r="AY7" s="115">
        <v>48322000000</v>
      </c>
      <c r="AZ7" s="115">
        <v>44437000000</v>
      </c>
      <c r="BA7" s="115">
        <v>38470000000</v>
      </c>
      <c r="BB7" s="115">
        <v>36253000000</v>
      </c>
      <c r="BC7" s="115">
        <v>33665000000</v>
      </c>
      <c r="BD7" s="115">
        <v>17493000000</v>
      </c>
      <c r="BE7" s="115">
        <v>21125000000</v>
      </c>
      <c r="BF7" s="115">
        <v>19009000000</v>
      </c>
      <c r="BG7" s="115">
        <v>17987000000</v>
      </c>
      <c r="BH7" s="115">
        <v>16859000000</v>
      </c>
      <c r="BI7" s="115">
        <v>15998000000</v>
      </c>
      <c r="BJ7" s="115">
        <v>273869000000</v>
      </c>
      <c r="BK7" s="115">
        <v>263414000000</v>
      </c>
      <c r="BL7" s="115">
        <v>251684000000</v>
      </c>
      <c r="BM7" s="115">
        <v>186949000000</v>
      </c>
      <c r="BN7" s="115">
        <v>180500000000</v>
      </c>
      <c r="BO7" s="115">
        <v>166574000000</v>
      </c>
      <c r="BP7" s="115">
        <v>183546000000</v>
      </c>
      <c r="BQ7" s="115">
        <v>180688000000</v>
      </c>
      <c r="BR7" s="115">
        <v>180071000000</v>
      </c>
      <c r="BS7" s="115">
        <v>118343000000</v>
      </c>
      <c r="BT7" s="115">
        <v>126557000000</v>
      </c>
      <c r="BU7" s="115">
        <v>114305000000</v>
      </c>
      <c r="BV7" s="115">
        <v>103564000000</v>
      </c>
      <c r="BW7" s="115">
        <v>108942000000</v>
      </c>
      <c r="BX7" s="115">
        <v>94507000000</v>
      </c>
      <c r="BY7" s="115">
        <v>84526000000</v>
      </c>
      <c r="BZ7" s="115">
        <v>80403000000</v>
      </c>
      <c r="CA7" s="115">
        <v>74510000000</v>
      </c>
    </row>
    <row r="8" spans="1:79" hidden="1" x14ac:dyDescent="0.15">
      <c r="A8" s="109" t="s">
        <v>362</v>
      </c>
      <c r="B8" s="114" t="s">
        <v>24</v>
      </c>
      <c r="C8" s="115">
        <v>3399000000</v>
      </c>
      <c r="D8" s="115">
        <v>2576000000</v>
      </c>
      <c r="E8" s="115">
        <v>1629000000</v>
      </c>
      <c r="F8" s="115">
        <v>1373000000</v>
      </c>
      <c r="G8" s="115">
        <v>1277000000</v>
      </c>
      <c r="H8" s="114" t="s">
        <v>24</v>
      </c>
      <c r="I8" s="115">
        <v>5217000000</v>
      </c>
      <c r="J8" s="115">
        <v>4231000000</v>
      </c>
      <c r="K8" s="115">
        <v>9991000000</v>
      </c>
      <c r="L8" s="115">
        <v>2599000000</v>
      </c>
      <c r="M8" s="115">
        <v>2596000000</v>
      </c>
      <c r="N8" s="114" t="s">
        <v>24</v>
      </c>
      <c r="O8" s="115">
        <v>3239000000</v>
      </c>
      <c r="P8" s="115">
        <v>3997000000</v>
      </c>
      <c r="Q8" s="115">
        <v>1871000000</v>
      </c>
      <c r="R8" s="115">
        <v>1561000000</v>
      </c>
      <c r="S8" s="115">
        <v>1579000000</v>
      </c>
      <c r="T8" s="114" t="s">
        <v>24</v>
      </c>
      <c r="U8" s="115">
        <v>2296000000</v>
      </c>
      <c r="V8" s="115">
        <v>1085000000</v>
      </c>
      <c r="W8" s="115">
        <v>74000000</v>
      </c>
      <c r="X8" s="115">
        <v>1709000000</v>
      </c>
      <c r="Y8" s="115">
        <v>1558000000</v>
      </c>
      <c r="Z8" s="114" t="s">
        <v>24</v>
      </c>
      <c r="AA8" s="115">
        <v>3158000000</v>
      </c>
      <c r="AB8" s="115">
        <v>2028000000</v>
      </c>
      <c r="AC8" s="115">
        <v>678000000</v>
      </c>
      <c r="AD8" s="115">
        <v>2201000000</v>
      </c>
      <c r="AE8" s="115">
        <v>2026000000</v>
      </c>
      <c r="AF8" s="114" t="s">
        <v>24</v>
      </c>
      <c r="AG8" s="114" t="s">
        <v>24</v>
      </c>
      <c r="AH8" s="114" t="s">
        <v>24</v>
      </c>
      <c r="AI8" s="114" t="s">
        <v>24</v>
      </c>
      <c r="AJ8" s="114" t="s">
        <v>24</v>
      </c>
      <c r="AK8" s="114" t="s">
        <v>24</v>
      </c>
      <c r="AL8" s="114" t="s">
        <v>24</v>
      </c>
      <c r="AM8" s="115">
        <v>14810000000</v>
      </c>
      <c r="AN8" s="115">
        <v>15185000000</v>
      </c>
      <c r="AO8" s="115">
        <v>14755000000</v>
      </c>
      <c r="AP8" s="115">
        <v>7841000000</v>
      </c>
      <c r="AQ8" s="115">
        <v>7616000000</v>
      </c>
      <c r="AR8" s="114" t="s">
        <v>24</v>
      </c>
      <c r="AS8" s="115">
        <v>2069000000</v>
      </c>
      <c r="AT8" s="115">
        <v>594000000</v>
      </c>
      <c r="AU8" s="115">
        <v>-337000000</v>
      </c>
      <c r="AV8" s="115">
        <v>1194000000</v>
      </c>
      <c r="AW8" s="115">
        <v>1034000000</v>
      </c>
      <c r="AX8" s="114" t="s">
        <v>24</v>
      </c>
      <c r="AY8" s="115">
        <v>951000000</v>
      </c>
      <c r="AZ8" s="115">
        <v>800000000</v>
      </c>
      <c r="BA8" s="115">
        <v>597000000</v>
      </c>
      <c r="BB8" s="115">
        <v>482000000</v>
      </c>
      <c r="BC8" s="115">
        <v>488000000</v>
      </c>
      <c r="BD8" s="114" t="s">
        <v>24</v>
      </c>
      <c r="BE8" s="115">
        <v>3009000000</v>
      </c>
      <c r="BF8" s="115">
        <v>1850000000</v>
      </c>
      <c r="BG8" s="115">
        <v>717000000</v>
      </c>
      <c r="BH8" s="115">
        <v>1995000000</v>
      </c>
      <c r="BI8" s="115">
        <v>2002000000</v>
      </c>
      <c r="BJ8" s="114" t="s">
        <v>24</v>
      </c>
      <c r="BK8" s="115">
        <v>33735000000</v>
      </c>
      <c r="BL8" s="115">
        <v>32550000000</v>
      </c>
      <c r="BM8" s="115">
        <v>22555000000</v>
      </c>
      <c r="BN8" s="115">
        <v>15758000000</v>
      </c>
      <c r="BO8" s="115">
        <v>15864000000</v>
      </c>
      <c r="BP8" s="114" t="s">
        <v>24</v>
      </c>
      <c r="BQ8" s="115">
        <v>23844000000</v>
      </c>
      <c r="BR8" s="115">
        <v>24164000000</v>
      </c>
      <c r="BS8" s="115">
        <v>17945000000</v>
      </c>
      <c r="BT8" s="115">
        <v>10591000000</v>
      </c>
      <c r="BU8" s="115">
        <v>10413000000</v>
      </c>
      <c r="BV8" s="114" t="s">
        <v>24</v>
      </c>
      <c r="BW8" s="115">
        <v>11144000000</v>
      </c>
      <c r="BX8" s="115">
        <v>10553000000</v>
      </c>
      <c r="BY8" s="115">
        <v>6873000000</v>
      </c>
      <c r="BZ8" s="115">
        <v>6497000000</v>
      </c>
      <c r="CA8" s="115">
        <v>6394000000</v>
      </c>
    </row>
    <row r="9" spans="1:79" hidden="1" x14ac:dyDescent="0.15">
      <c r="A9" s="109" t="s">
        <v>361</v>
      </c>
      <c r="B9" s="115">
        <v>7616000000</v>
      </c>
      <c r="C9" s="115">
        <v>5984000000</v>
      </c>
      <c r="D9" s="115">
        <v>14295000000</v>
      </c>
      <c r="E9" s="115">
        <v>12343000000</v>
      </c>
      <c r="F9" s="115">
        <v>13213000000</v>
      </c>
      <c r="G9" s="115">
        <v>10909000000</v>
      </c>
      <c r="H9" s="115">
        <v>35251000000</v>
      </c>
      <c r="I9" s="115">
        <v>28124000000</v>
      </c>
      <c r="J9" s="115">
        <v>16825000000</v>
      </c>
      <c r="K9" s="115">
        <v>15889000000</v>
      </c>
      <c r="L9" s="115">
        <v>16966000000</v>
      </c>
      <c r="M9" s="115">
        <v>16758000000</v>
      </c>
      <c r="N9" s="115">
        <v>26628000000</v>
      </c>
      <c r="O9" s="115">
        <v>31341000000</v>
      </c>
      <c r="P9" s="115">
        <v>17860000000</v>
      </c>
      <c r="Q9" s="115">
        <v>19595000000</v>
      </c>
      <c r="R9" s="115">
        <v>16842000000</v>
      </c>
      <c r="S9" s="115">
        <v>16334000000</v>
      </c>
      <c r="T9" s="115">
        <v>-2394000000</v>
      </c>
      <c r="U9" s="115">
        <v>14047000000</v>
      </c>
      <c r="V9" s="115">
        <v>14831000000</v>
      </c>
      <c r="W9" s="115">
        <v>13468000000</v>
      </c>
      <c r="X9" s="115">
        <v>13942000000</v>
      </c>
      <c r="Y9" s="115">
        <v>13054000000</v>
      </c>
      <c r="Z9" s="115">
        <v>4442000000</v>
      </c>
      <c r="AA9" s="115">
        <v>19185000000</v>
      </c>
      <c r="AB9" s="115">
        <v>18416000000</v>
      </c>
      <c r="AC9" s="115">
        <v>16635000000</v>
      </c>
      <c r="AD9" s="115">
        <v>16729000000</v>
      </c>
      <c r="AE9" s="115">
        <v>15525000000</v>
      </c>
      <c r="AF9" s="115">
        <v>1583000000</v>
      </c>
      <c r="AG9" s="115">
        <v>1649000000</v>
      </c>
      <c r="AH9" s="115">
        <v>1392000000</v>
      </c>
      <c r="AI9" s="115">
        <v>1373000000</v>
      </c>
      <c r="AJ9" s="115">
        <v>1390000000</v>
      </c>
      <c r="AK9" s="115">
        <v>1571000000</v>
      </c>
      <c r="AL9" s="115">
        <v>52917000000</v>
      </c>
      <c r="AM9" s="115">
        <v>38129000000</v>
      </c>
      <c r="AN9" s="115">
        <v>17084000000</v>
      </c>
      <c r="AO9" s="115">
        <v>19119000000</v>
      </c>
      <c r="AP9" s="115">
        <v>16483000000</v>
      </c>
      <c r="AQ9" s="115">
        <v>12773000000</v>
      </c>
      <c r="AR9" s="115">
        <v>-2864000000</v>
      </c>
      <c r="AS9" s="115">
        <v>11054000000</v>
      </c>
      <c r="AT9" s="115">
        <v>12598000000</v>
      </c>
      <c r="AU9" s="115">
        <v>8980000000</v>
      </c>
      <c r="AV9" s="115">
        <v>9391000000</v>
      </c>
      <c r="AW9" s="115">
        <v>8382000000</v>
      </c>
      <c r="AX9" s="115">
        <v>32078000000</v>
      </c>
      <c r="AY9" s="115">
        <v>31603000000</v>
      </c>
      <c r="AZ9" s="115">
        <v>29540000000</v>
      </c>
      <c r="BA9" s="115">
        <v>28406000000</v>
      </c>
      <c r="BB9" s="115">
        <v>27349000000</v>
      </c>
      <c r="BC9" s="115">
        <v>25179000000</v>
      </c>
      <c r="BD9" s="115">
        <v>-1941000000</v>
      </c>
      <c r="BE9" s="115">
        <v>10668000000</v>
      </c>
      <c r="BF9" s="115">
        <v>14804000000</v>
      </c>
      <c r="BG9" s="115">
        <v>13775000000</v>
      </c>
      <c r="BH9" s="115">
        <v>14202000000</v>
      </c>
      <c r="BI9" s="115">
        <v>13171000000</v>
      </c>
      <c r="BJ9" s="115">
        <v>201549000000</v>
      </c>
      <c r="BK9" s="115">
        <v>193984000000</v>
      </c>
      <c r="BL9" s="115">
        <v>98598000000</v>
      </c>
      <c r="BM9" s="115">
        <v>95789000000</v>
      </c>
      <c r="BN9" s="115">
        <v>92033000000</v>
      </c>
      <c r="BO9" s="115">
        <v>88182000000</v>
      </c>
      <c r="BP9" s="115">
        <v>117966000000</v>
      </c>
      <c r="BQ9" s="115">
        <v>105107000000</v>
      </c>
      <c r="BR9" s="115">
        <v>49825000000</v>
      </c>
      <c r="BS9" s="115">
        <v>54474000000</v>
      </c>
      <c r="BT9" s="115">
        <v>48768000000</v>
      </c>
      <c r="BU9" s="115">
        <v>43657000000</v>
      </c>
      <c r="BV9" s="115">
        <v>65388000000</v>
      </c>
      <c r="BW9" s="115">
        <v>69570000000</v>
      </c>
      <c r="BX9" s="115">
        <v>59434000000</v>
      </c>
      <c r="BY9" s="115">
        <v>55137000000</v>
      </c>
      <c r="BZ9" s="115">
        <v>55632000000</v>
      </c>
      <c r="CA9" s="115">
        <v>52465000000</v>
      </c>
    </row>
    <row r="10" spans="1:79" hidden="1" x14ac:dyDescent="0.15">
      <c r="A10" s="109" t="s">
        <v>357</v>
      </c>
      <c r="B10" s="115">
        <v>2365000000</v>
      </c>
      <c r="C10" s="115">
        <v>2524000000</v>
      </c>
      <c r="D10" s="115">
        <v>1317000000</v>
      </c>
      <c r="E10" s="115">
        <v>1655000000</v>
      </c>
      <c r="F10" s="115">
        <v>1097000000</v>
      </c>
      <c r="G10" s="114" t="s">
        <v>24</v>
      </c>
      <c r="H10" s="115">
        <v>7486000000</v>
      </c>
      <c r="I10" s="115">
        <v>6478000000</v>
      </c>
      <c r="J10" s="115">
        <v>5580000000</v>
      </c>
      <c r="K10" s="115">
        <v>2807000000</v>
      </c>
      <c r="L10" s="114" t="s">
        <v>24</v>
      </c>
      <c r="M10" s="114" t="s">
        <v>24</v>
      </c>
      <c r="N10" s="115">
        <v>1906000000</v>
      </c>
      <c r="O10" s="115">
        <v>1712000000</v>
      </c>
      <c r="P10" s="115">
        <v>1759000000</v>
      </c>
      <c r="Q10" s="115">
        <v>2042000000</v>
      </c>
      <c r="R10" s="114" t="s">
        <v>24</v>
      </c>
      <c r="S10" s="114" t="s">
        <v>24</v>
      </c>
      <c r="T10" s="115">
        <v>1464000000</v>
      </c>
      <c r="U10" s="115">
        <v>2224000000</v>
      </c>
      <c r="V10" s="115">
        <v>2170000000</v>
      </c>
      <c r="W10" s="115">
        <v>2241000000</v>
      </c>
      <c r="X10" s="115">
        <v>1843000000</v>
      </c>
      <c r="Y10" s="114" t="s">
        <v>24</v>
      </c>
      <c r="Z10" s="115">
        <v>2020000000</v>
      </c>
      <c r="AA10" s="115">
        <v>2583000000</v>
      </c>
      <c r="AB10" s="115">
        <v>2370000000</v>
      </c>
      <c r="AC10" s="115">
        <v>2418000000</v>
      </c>
      <c r="AD10" s="115">
        <v>2016000000</v>
      </c>
      <c r="AE10" s="114" t="s">
        <v>24</v>
      </c>
      <c r="AF10" s="115">
        <v>856000000</v>
      </c>
      <c r="AG10" s="115">
        <v>1129000000</v>
      </c>
      <c r="AH10" s="115">
        <v>1180000000</v>
      </c>
      <c r="AI10" s="115">
        <v>1052000000</v>
      </c>
      <c r="AJ10" s="114" t="s">
        <v>24</v>
      </c>
      <c r="AK10" s="114" t="s">
        <v>24</v>
      </c>
      <c r="AL10" s="115">
        <v>7946000000</v>
      </c>
      <c r="AM10" s="115">
        <v>6751000000</v>
      </c>
      <c r="AN10" s="114" t="s">
        <v>24</v>
      </c>
      <c r="AO10" s="114" t="s">
        <v>24</v>
      </c>
      <c r="AP10" s="114" t="s">
        <v>24</v>
      </c>
      <c r="AQ10" s="114" t="s">
        <v>24</v>
      </c>
      <c r="AR10" s="115">
        <v>999000000</v>
      </c>
      <c r="AS10" s="115">
        <v>1595000000</v>
      </c>
      <c r="AT10" s="115">
        <v>2187000000</v>
      </c>
      <c r="AU10" s="115">
        <v>1372000000</v>
      </c>
      <c r="AV10" s="115">
        <v>1072000000</v>
      </c>
      <c r="AW10" s="114" t="s">
        <v>24</v>
      </c>
      <c r="AX10" s="115">
        <v>1498000000</v>
      </c>
      <c r="AY10" s="115">
        <v>1313000000</v>
      </c>
      <c r="AZ10" s="115">
        <v>1169000000</v>
      </c>
      <c r="BA10" s="115">
        <v>1123000000</v>
      </c>
      <c r="BB10" s="114" t="s">
        <v>24</v>
      </c>
      <c r="BC10" s="114" t="s">
        <v>24</v>
      </c>
      <c r="BD10" s="115">
        <v>2497000000</v>
      </c>
      <c r="BE10" s="115">
        <v>2431000000</v>
      </c>
      <c r="BF10" s="115">
        <v>2268000000</v>
      </c>
      <c r="BG10" s="115">
        <v>2560000000</v>
      </c>
      <c r="BH10" s="115">
        <v>2016000000</v>
      </c>
      <c r="BI10" s="114" t="s">
        <v>24</v>
      </c>
      <c r="BJ10" s="115">
        <v>21750000000</v>
      </c>
      <c r="BK10" s="115">
        <v>19509000000</v>
      </c>
      <c r="BL10" s="115">
        <v>13121000000</v>
      </c>
      <c r="BM10" s="115">
        <v>10348000000</v>
      </c>
      <c r="BN10" s="114" t="s">
        <v>24</v>
      </c>
      <c r="BO10" s="114" t="s">
        <v>24</v>
      </c>
      <c r="BP10" s="115">
        <v>11656000000</v>
      </c>
      <c r="BQ10" s="115">
        <v>9562000000</v>
      </c>
      <c r="BR10" s="115">
        <v>3527000000</v>
      </c>
      <c r="BS10" s="115">
        <v>4255000000</v>
      </c>
      <c r="BT10" s="114" t="s">
        <v>24</v>
      </c>
      <c r="BU10" s="114" t="s">
        <v>24</v>
      </c>
      <c r="BV10" s="115">
        <v>12303000000</v>
      </c>
      <c r="BW10" s="115">
        <v>11389000000</v>
      </c>
      <c r="BX10" s="115">
        <v>10153000000</v>
      </c>
      <c r="BY10" s="115">
        <v>9921000000</v>
      </c>
      <c r="BZ10" s="115">
        <v>8894000000</v>
      </c>
      <c r="CA10" s="114" t="s">
        <v>24</v>
      </c>
    </row>
    <row r="11" spans="1:79" hidden="1" x14ac:dyDescent="0.15">
      <c r="A11" s="109" t="s">
        <v>347</v>
      </c>
      <c r="B11" s="114" t="s">
        <v>24</v>
      </c>
      <c r="C11" s="115">
        <v>2313000000</v>
      </c>
      <c r="D11" s="115">
        <v>2156000000</v>
      </c>
      <c r="E11" s="115">
        <v>1732000000</v>
      </c>
      <c r="F11" s="115">
        <v>2171000000</v>
      </c>
      <c r="G11" s="115">
        <v>1213000000</v>
      </c>
      <c r="H11" s="114" t="s">
        <v>24</v>
      </c>
      <c r="I11" s="115">
        <v>2405000000</v>
      </c>
      <c r="J11" s="115">
        <v>1082000000</v>
      </c>
      <c r="K11" s="115">
        <v>1763000000</v>
      </c>
      <c r="L11" s="115">
        <v>1029000000</v>
      </c>
      <c r="M11" s="115">
        <v>691000000</v>
      </c>
      <c r="N11" s="114" t="s">
        <v>24</v>
      </c>
      <c r="O11" s="115">
        <v>3888000000</v>
      </c>
      <c r="P11" s="115">
        <v>3244000000</v>
      </c>
      <c r="Q11" s="115">
        <v>3979000000</v>
      </c>
      <c r="R11" s="115">
        <v>2872000000</v>
      </c>
      <c r="S11" s="115">
        <v>2813000000</v>
      </c>
      <c r="T11" s="114" t="s">
        <v>24</v>
      </c>
      <c r="U11" s="115">
        <v>507000000</v>
      </c>
      <c r="V11" s="115">
        <v>1023000000</v>
      </c>
      <c r="W11" s="115">
        <v>723000000</v>
      </c>
      <c r="X11" s="115">
        <v>1405000000</v>
      </c>
      <c r="Y11" s="115">
        <v>498000000</v>
      </c>
      <c r="Z11" s="114" t="s">
        <v>24</v>
      </c>
      <c r="AA11" s="115">
        <v>1435000000</v>
      </c>
      <c r="AB11" s="115">
        <v>1880000000</v>
      </c>
      <c r="AC11" s="115">
        <v>1544000000</v>
      </c>
      <c r="AD11" s="115">
        <v>1953000000</v>
      </c>
      <c r="AE11" s="115">
        <v>1033000000</v>
      </c>
      <c r="AF11" s="114" t="s">
        <v>24</v>
      </c>
      <c r="AG11" s="114" t="s">
        <v>24</v>
      </c>
      <c r="AH11" s="114" t="s">
        <v>24</v>
      </c>
      <c r="AI11" s="114" t="s">
        <v>24</v>
      </c>
      <c r="AJ11" s="114" t="s">
        <v>24</v>
      </c>
      <c r="AK11" s="114" t="s">
        <v>24</v>
      </c>
      <c r="AL11" s="114" t="s">
        <v>24</v>
      </c>
      <c r="AM11" s="115">
        <v>15416000000</v>
      </c>
      <c r="AN11" s="115">
        <v>13371000000</v>
      </c>
      <c r="AO11" s="115">
        <v>13186000000</v>
      </c>
      <c r="AP11" s="115">
        <v>8013000000</v>
      </c>
      <c r="AQ11" s="115">
        <v>6626000000</v>
      </c>
      <c r="AR11" s="114" t="s">
        <v>24</v>
      </c>
      <c r="AS11" s="115">
        <v>106000000</v>
      </c>
      <c r="AT11" s="115">
        <v>531000000</v>
      </c>
      <c r="AU11" s="115">
        <v>1354000000</v>
      </c>
      <c r="AV11" s="115">
        <v>680000000</v>
      </c>
      <c r="AW11" s="115">
        <v>64000000</v>
      </c>
      <c r="AX11" s="114" t="s">
        <v>24</v>
      </c>
      <c r="AY11" s="115">
        <v>2262000000</v>
      </c>
      <c r="AZ11" s="115">
        <v>2469000000</v>
      </c>
      <c r="BA11" s="115">
        <v>2541000000</v>
      </c>
      <c r="BB11" s="115">
        <v>2352000000</v>
      </c>
      <c r="BC11" s="115">
        <v>1879000000</v>
      </c>
      <c r="BD11" s="114" t="s">
        <v>24</v>
      </c>
      <c r="BE11" s="115">
        <v>1470000000</v>
      </c>
      <c r="BF11" s="115">
        <v>1511000000</v>
      </c>
      <c r="BG11" s="115">
        <v>1394000000</v>
      </c>
      <c r="BH11" s="115">
        <v>1734000000</v>
      </c>
      <c r="BI11" s="115">
        <v>954000000</v>
      </c>
      <c r="BJ11" s="114" t="s">
        <v>24</v>
      </c>
      <c r="BK11" s="115">
        <v>44189000000</v>
      </c>
      <c r="BL11" s="115">
        <v>40828000000</v>
      </c>
      <c r="BM11" s="115">
        <v>41996000000</v>
      </c>
      <c r="BN11" s="115">
        <v>31377000000</v>
      </c>
      <c r="BO11" s="115">
        <v>29798000000</v>
      </c>
      <c r="BP11" s="114" t="s">
        <v>24</v>
      </c>
      <c r="BQ11" s="115">
        <v>27894000000</v>
      </c>
      <c r="BR11" s="115">
        <v>24233000000</v>
      </c>
      <c r="BS11" s="115">
        <v>25053000000</v>
      </c>
      <c r="BT11" s="115">
        <v>19621000000</v>
      </c>
      <c r="BU11" s="115">
        <v>18865000000</v>
      </c>
      <c r="BV11" s="114" t="s">
        <v>24</v>
      </c>
      <c r="BW11" s="115">
        <v>10292000000</v>
      </c>
      <c r="BX11" s="115">
        <v>8040000000</v>
      </c>
      <c r="BY11" s="115">
        <v>7594000000</v>
      </c>
      <c r="BZ11" s="115">
        <v>5276000000</v>
      </c>
      <c r="CA11" s="115">
        <v>4795000000</v>
      </c>
    </row>
    <row r="12" spans="1:79" hidden="1" x14ac:dyDescent="0.15">
      <c r="A12" s="109" t="s">
        <v>341</v>
      </c>
      <c r="B12" s="114" t="s">
        <v>24</v>
      </c>
      <c r="C12" s="115">
        <v>417467000</v>
      </c>
      <c r="D12" s="115">
        <v>736867000</v>
      </c>
      <c r="E12" s="115">
        <v>136721000</v>
      </c>
      <c r="F12" s="115">
        <v>247757000</v>
      </c>
      <c r="G12" s="115">
        <v>197266000</v>
      </c>
      <c r="H12" s="114" t="s">
        <v>24</v>
      </c>
      <c r="I12" s="115">
        <v>1351767000</v>
      </c>
      <c r="J12" s="115">
        <v>767075000</v>
      </c>
      <c r="K12" s="115">
        <v>1056218000</v>
      </c>
      <c r="L12" s="115">
        <v>363217000</v>
      </c>
      <c r="M12" s="115">
        <v>260028000</v>
      </c>
      <c r="N12" s="114" t="s">
        <v>24</v>
      </c>
      <c r="O12" s="115">
        <v>947557000</v>
      </c>
      <c r="P12" s="115">
        <v>404172000</v>
      </c>
      <c r="Q12" s="115">
        <v>670703000</v>
      </c>
      <c r="R12" s="115">
        <v>189578000</v>
      </c>
      <c r="S12" s="115">
        <v>146061000</v>
      </c>
      <c r="T12" s="114" t="s">
        <v>24</v>
      </c>
      <c r="U12" s="115">
        <v>373321000</v>
      </c>
      <c r="V12" s="115">
        <v>532945000</v>
      </c>
      <c r="W12" s="115">
        <v>241384000</v>
      </c>
      <c r="X12" s="115">
        <v>170672000</v>
      </c>
      <c r="Y12" s="115">
        <v>125070000</v>
      </c>
      <c r="Z12" s="114" t="s">
        <v>24</v>
      </c>
      <c r="AA12" s="115">
        <v>1086381000</v>
      </c>
      <c r="AB12" s="115">
        <v>1074476000</v>
      </c>
      <c r="AC12" s="115">
        <v>805645000</v>
      </c>
      <c r="AD12" s="115">
        <v>407086000</v>
      </c>
      <c r="AE12" s="115">
        <v>323441000</v>
      </c>
      <c r="AF12" s="114" t="s">
        <v>24</v>
      </c>
      <c r="AG12" s="114" t="s">
        <v>24</v>
      </c>
      <c r="AH12" s="114" t="s">
        <v>24</v>
      </c>
      <c r="AI12" s="114" t="s">
        <v>24</v>
      </c>
      <c r="AJ12" s="114" t="s">
        <v>24</v>
      </c>
      <c r="AK12" s="114" t="s">
        <v>24</v>
      </c>
      <c r="AL12" s="114" t="s">
        <v>24</v>
      </c>
      <c r="AM12" s="115">
        <v>8383278000</v>
      </c>
      <c r="AN12" s="115">
        <v>3884910000</v>
      </c>
      <c r="AO12" s="115">
        <v>4269652000</v>
      </c>
      <c r="AP12" s="115">
        <v>2314326000</v>
      </c>
      <c r="AQ12" s="115">
        <v>1454075000</v>
      </c>
      <c r="AR12" s="114" t="s">
        <v>24</v>
      </c>
      <c r="AS12" s="115">
        <v>230259000</v>
      </c>
      <c r="AT12" s="115">
        <v>389477000</v>
      </c>
      <c r="AU12" s="115">
        <v>474997000</v>
      </c>
      <c r="AV12" s="115">
        <v>91537000</v>
      </c>
      <c r="AW12" s="115">
        <v>77684000</v>
      </c>
      <c r="AX12" s="114" t="s">
        <v>24</v>
      </c>
      <c r="AY12" s="115">
        <v>1290428000</v>
      </c>
      <c r="AZ12" s="115">
        <v>731538000</v>
      </c>
      <c r="BA12" s="115">
        <v>734138000</v>
      </c>
      <c r="BB12" s="115">
        <v>276153000</v>
      </c>
      <c r="BC12" s="115">
        <v>266583000</v>
      </c>
      <c r="BD12" s="114" t="s">
        <v>24</v>
      </c>
      <c r="BE12" s="115">
        <v>559040000</v>
      </c>
      <c r="BF12" s="115">
        <v>757779000</v>
      </c>
      <c r="BG12" s="115">
        <v>461029000</v>
      </c>
      <c r="BH12" s="115">
        <v>287308000</v>
      </c>
      <c r="BI12" s="115">
        <v>206107000</v>
      </c>
      <c r="BJ12" s="114" t="s">
        <v>24</v>
      </c>
      <c r="BK12" s="115">
        <v>13989737000</v>
      </c>
      <c r="BL12" s="115">
        <v>7062030000</v>
      </c>
      <c r="BM12" s="115">
        <v>7481647000</v>
      </c>
      <c r="BN12" s="115">
        <v>2966085000</v>
      </c>
      <c r="BO12" s="115">
        <v>1835134000</v>
      </c>
      <c r="BP12" s="114" t="s">
        <v>24</v>
      </c>
      <c r="BQ12" s="115">
        <v>11958240000</v>
      </c>
      <c r="BR12" s="115">
        <v>5209256000</v>
      </c>
      <c r="BS12" s="115">
        <v>5911033000</v>
      </c>
      <c r="BT12" s="115">
        <v>2796944000</v>
      </c>
      <c r="BU12" s="115">
        <v>1754460000</v>
      </c>
      <c r="BV12" s="114" t="s">
        <v>24</v>
      </c>
      <c r="BW12" s="115">
        <v>3039324000</v>
      </c>
      <c r="BX12" s="115">
        <v>2766696000</v>
      </c>
      <c r="BY12" s="115">
        <v>2431966000</v>
      </c>
      <c r="BZ12" s="115">
        <v>1103190000</v>
      </c>
      <c r="CA12" s="115">
        <v>896377000</v>
      </c>
    </row>
    <row r="13" spans="1:79" hidden="1" x14ac:dyDescent="0.15">
      <c r="A13" s="109" t="s">
        <v>333</v>
      </c>
      <c r="B13" s="115">
        <v>13609168393.65</v>
      </c>
      <c r="C13" s="115">
        <v>12691565744.26</v>
      </c>
      <c r="D13" s="115">
        <v>12653594032.440001</v>
      </c>
      <c r="E13" s="115">
        <v>8159602615.7399998</v>
      </c>
      <c r="F13" s="115">
        <v>7552892096.5299997</v>
      </c>
      <c r="G13" s="115">
        <v>7608861552.8000002</v>
      </c>
      <c r="H13" s="115">
        <v>57826147951.650002</v>
      </c>
      <c r="I13" s="115">
        <v>52900382075.239998</v>
      </c>
      <c r="J13" s="115">
        <v>52189385465.919998</v>
      </c>
      <c r="K13" s="115">
        <v>43917743109.940002</v>
      </c>
      <c r="L13" s="115">
        <v>42314633093.790001</v>
      </c>
      <c r="M13" s="115">
        <v>42326470265.769997</v>
      </c>
      <c r="N13" s="115">
        <v>62920951467.110001</v>
      </c>
      <c r="O13" s="115">
        <v>61301376287.550003</v>
      </c>
      <c r="P13" s="115">
        <v>56670622178.57</v>
      </c>
      <c r="Q13" s="115">
        <v>52649593337.029999</v>
      </c>
      <c r="R13" s="115">
        <v>48707341177.5</v>
      </c>
      <c r="S13" s="115">
        <v>47848692484.300003</v>
      </c>
      <c r="T13" s="115">
        <v>8166973120.6099997</v>
      </c>
      <c r="U13" s="115">
        <v>10230452332.190001</v>
      </c>
      <c r="V13" s="115">
        <v>6961951029.6000004</v>
      </c>
      <c r="W13" s="115">
        <v>2501091595.1199999</v>
      </c>
      <c r="X13" s="115">
        <v>3047678556.8200002</v>
      </c>
      <c r="Y13" s="115">
        <v>-704150408.49000001</v>
      </c>
      <c r="Z13" s="115">
        <v>15610709149.120001</v>
      </c>
      <c r="AA13" s="115">
        <v>17423177801.549999</v>
      </c>
      <c r="AB13" s="115">
        <v>14166090194.6</v>
      </c>
      <c r="AC13" s="115">
        <v>8829421192.3799992</v>
      </c>
      <c r="AD13" s="115">
        <v>10201494616.75</v>
      </c>
      <c r="AE13" s="115">
        <v>5731459861.5699997</v>
      </c>
      <c r="AF13" s="115">
        <v>5948521734.1300001</v>
      </c>
      <c r="AG13" s="115">
        <v>6586851820.0600004</v>
      </c>
      <c r="AH13" s="115">
        <v>6986724395.4899998</v>
      </c>
      <c r="AI13" s="115">
        <v>6461391912.9499998</v>
      </c>
      <c r="AJ13" s="115">
        <v>6888003994.4200001</v>
      </c>
      <c r="AK13" s="115">
        <v>6709397806.6400003</v>
      </c>
      <c r="AL13" s="115">
        <v>6402216135.8199997</v>
      </c>
      <c r="AM13" s="115">
        <v>5730764150.4399996</v>
      </c>
      <c r="AN13" s="115">
        <v>6286113039.2700005</v>
      </c>
      <c r="AO13" s="115">
        <v>6871024609.7399998</v>
      </c>
      <c r="AP13" s="115">
        <v>5612120195.8500004</v>
      </c>
      <c r="AQ13" s="115">
        <v>7179809440.9899998</v>
      </c>
      <c r="AR13" s="115">
        <v>5870097949.0699997</v>
      </c>
      <c r="AS13" s="115">
        <v>9238549750.6700001</v>
      </c>
      <c r="AT13" s="115">
        <v>4948563019.3800001</v>
      </c>
      <c r="AU13" s="115">
        <v>738956130.52999997</v>
      </c>
      <c r="AV13" s="115">
        <v>1490142661.0699999</v>
      </c>
      <c r="AW13" s="115">
        <v>-1270227364.5999999</v>
      </c>
      <c r="AX13" s="115">
        <v>9161648463.8799992</v>
      </c>
      <c r="AY13" s="115">
        <v>7834846676.8100004</v>
      </c>
      <c r="AZ13" s="115">
        <v>7455905931.8999996</v>
      </c>
      <c r="BA13" s="115">
        <v>7644746131.2299995</v>
      </c>
      <c r="BB13" s="115">
        <v>8276119105.8599997</v>
      </c>
      <c r="BC13" s="115">
        <v>7454040619.4499998</v>
      </c>
      <c r="BD13" s="115">
        <v>8427400986.9399996</v>
      </c>
      <c r="BE13" s="115">
        <v>9046604058.1800003</v>
      </c>
      <c r="BF13" s="115">
        <v>7323025106.0699997</v>
      </c>
      <c r="BG13" s="115">
        <v>2874990955.0300002</v>
      </c>
      <c r="BH13" s="115">
        <v>2943755446.4299998</v>
      </c>
      <c r="BI13" s="115">
        <v>651619176.78999996</v>
      </c>
      <c r="BJ13" s="115">
        <v>232300396420.10999</v>
      </c>
      <c r="BK13" s="115">
        <v>211552505873.22</v>
      </c>
      <c r="BL13" s="115">
        <v>192233434580.26001</v>
      </c>
      <c r="BM13" s="115">
        <v>178067324220.12</v>
      </c>
      <c r="BN13" s="115">
        <v>168113956490.29999</v>
      </c>
      <c r="BO13" s="115">
        <v>159653917576.87</v>
      </c>
      <c r="BP13" s="115">
        <v>190705884842.48999</v>
      </c>
      <c r="BQ13" s="115">
        <v>173778648248.92999</v>
      </c>
      <c r="BR13" s="115">
        <v>162314165696.44</v>
      </c>
      <c r="BS13" s="115">
        <v>152888167168.70001</v>
      </c>
      <c r="BT13" s="115">
        <v>143276665838.5</v>
      </c>
      <c r="BU13" s="115">
        <v>136291363113.58</v>
      </c>
      <c r="BV13" s="115">
        <v>83282520681.449997</v>
      </c>
      <c r="BW13" s="115">
        <v>87374128912.990005</v>
      </c>
      <c r="BX13" s="115">
        <v>86147005390.139999</v>
      </c>
      <c r="BY13" s="115">
        <v>76661821002.5</v>
      </c>
      <c r="BZ13" s="115">
        <v>81728029782.240005</v>
      </c>
      <c r="CA13" s="115">
        <v>82838828387.600006</v>
      </c>
    </row>
    <row r="14" spans="1:79" hidden="1" x14ac:dyDescent="0.15">
      <c r="A14" s="109" t="s">
        <v>324</v>
      </c>
      <c r="B14" s="114" t="s">
        <v>24</v>
      </c>
      <c r="C14" s="115">
        <v>1230000000</v>
      </c>
      <c r="D14" s="115">
        <v>1426000000</v>
      </c>
      <c r="E14" s="115">
        <v>887000000</v>
      </c>
      <c r="F14" s="115">
        <v>1685000000</v>
      </c>
      <c r="G14" s="115">
        <v>1394000000</v>
      </c>
      <c r="H14" s="114" t="s">
        <v>24</v>
      </c>
      <c r="I14" s="115">
        <v>11902000000</v>
      </c>
      <c r="J14" s="115">
        <v>6752000000</v>
      </c>
      <c r="K14" s="115">
        <v>6273000000</v>
      </c>
      <c r="L14" s="115">
        <v>6063000000</v>
      </c>
      <c r="M14" s="115">
        <v>5747000000</v>
      </c>
      <c r="N14" s="114" t="s">
        <v>24</v>
      </c>
      <c r="O14" s="115">
        <v>9048000000</v>
      </c>
      <c r="P14" s="115">
        <v>4573000000</v>
      </c>
      <c r="Q14" s="115">
        <v>3972000000</v>
      </c>
      <c r="R14" s="115">
        <v>3708000000</v>
      </c>
      <c r="S14" s="115">
        <v>3560000000</v>
      </c>
      <c r="T14" s="114" t="s">
        <v>24</v>
      </c>
      <c r="U14" s="115">
        <v>3345000000</v>
      </c>
      <c r="V14" s="115">
        <v>2289000000</v>
      </c>
      <c r="W14" s="115">
        <v>1979000000</v>
      </c>
      <c r="X14" s="115">
        <v>2230000000</v>
      </c>
      <c r="Y14" s="115">
        <v>2023000000</v>
      </c>
      <c r="Z14" s="114" t="s">
        <v>24</v>
      </c>
      <c r="AA14" s="115">
        <v>4607000000</v>
      </c>
      <c r="AB14" s="115">
        <v>2904000000</v>
      </c>
      <c r="AC14" s="115">
        <v>2575000000</v>
      </c>
      <c r="AD14" s="115">
        <v>2814000000</v>
      </c>
      <c r="AE14" s="115">
        <v>2631000000</v>
      </c>
      <c r="AF14" s="114" t="s">
        <v>24</v>
      </c>
      <c r="AG14" s="115">
        <v>2876000000</v>
      </c>
      <c r="AH14" s="115">
        <v>1988000000</v>
      </c>
      <c r="AI14" s="115">
        <v>1828000000</v>
      </c>
      <c r="AJ14" s="115">
        <v>1427000000</v>
      </c>
      <c r="AK14" s="115">
        <v>1271000000</v>
      </c>
      <c r="AL14" s="114" t="s">
        <v>24</v>
      </c>
      <c r="AM14" s="115">
        <v>18002000000</v>
      </c>
      <c r="AN14" s="115">
        <v>9465000000</v>
      </c>
      <c r="AO14" s="115">
        <v>9464000000</v>
      </c>
      <c r="AP14" s="115">
        <v>8902000000</v>
      </c>
      <c r="AQ14" s="115">
        <v>8226000000</v>
      </c>
      <c r="AR14" s="114" t="s">
        <v>24</v>
      </c>
      <c r="AS14" s="115">
        <v>3308000000</v>
      </c>
      <c r="AT14" s="115">
        <v>1960000000</v>
      </c>
      <c r="AU14" s="115">
        <v>357000000</v>
      </c>
      <c r="AV14" s="115">
        <v>1261000000</v>
      </c>
      <c r="AW14" s="115">
        <v>1413000000</v>
      </c>
      <c r="AX14" s="114" t="s">
        <v>24</v>
      </c>
      <c r="AY14" s="115">
        <v>2085000000</v>
      </c>
      <c r="AZ14" s="115">
        <v>1209000000</v>
      </c>
      <c r="BA14" s="115">
        <v>1280000000</v>
      </c>
      <c r="BB14" s="115">
        <v>1241000000</v>
      </c>
      <c r="BC14" s="115">
        <v>1405000000</v>
      </c>
      <c r="BD14" s="114" t="s">
        <v>24</v>
      </c>
      <c r="BE14" s="115">
        <v>3724000000</v>
      </c>
      <c r="BF14" s="115">
        <v>2768000000</v>
      </c>
      <c r="BG14" s="115">
        <v>2775000000</v>
      </c>
      <c r="BH14" s="115">
        <v>2832000000</v>
      </c>
      <c r="BI14" s="115">
        <v>2278000000</v>
      </c>
      <c r="BJ14" s="114" t="s">
        <v>24</v>
      </c>
      <c r="BK14" s="115">
        <v>49519000000</v>
      </c>
      <c r="BL14" s="115">
        <v>21859000000</v>
      </c>
      <c r="BM14" s="115">
        <v>20843000000</v>
      </c>
      <c r="BN14" s="115">
        <v>24238000000</v>
      </c>
      <c r="BO14" s="115">
        <v>23765000000</v>
      </c>
      <c r="BP14" s="114" t="s">
        <v>24</v>
      </c>
      <c r="BQ14" s="115">
        <v>36312000000</v>
      </c>
      <c r="BR14" s="115">
        <v>19055000000</v>
      </c>
      <c r="BS14" s="115">
        <v>18865000000</v>
      </c>
      <c r="BT14" s="115">
        <v>20549000000</v>
      </c>
      <c r="BU14" s="115">
        <v>18202000000</v>
      </c>
      <c r="BV14" s="114" t="s">
        <v>24</v>
      </c>
      <c r="BW14" s="115">
        <v>27812000000</v>
      </c>
      <c r="BX14" s="115">
        <v>14514000000</v>
      </c>
      <c r="BY14" s="115">
        <v>13692000000</v>
      </c>
      <c r="BZ14" s="115">
        <v>13166000000</v>
      </c>
      <c r="CA14" s="115">
        <v>13886000000</v>
      </c>
    </row>
    <row r="15" spans="1:79" hidden="1" x14ac:dyDescent="0.15"/>
    <row r="16" spans="1:79" ht="16" x14ac:dyDescent="0.2">
      <c r="A16" s="225" t="s">
        <v>665</v>
      </c>
    </row>
    <row r="18" spans="1:7" x14ac:dyDescent="0.15">
      <c r="A18" s="121" t="str">
        <f>A6</f>
        <v>AMC Networks Inc</v>
      </c>
      <c r="B18" s="121">
        <v>2020</v>
      </c>
      <c r="C18" s="121">
        <v>2019</v>
      </c>
      <c r="D18" s="121">
        <v>2018</v>
      </c>
      <c r="E18" s="121">
        <v>2017</v>
      </c>
      <c r="F18" s="121">
        <v>2016</v>
      </c>
      <c r="G18" s="121">
        <v>2015</v>
      </c>
    </row>
    <row r="19" spans="1:7" x14ac:dyDescent="0.15">
      <c r="A19" s="105" t="s">
        <v>663</v>
      </c>
      <c r="B19" s="126" t="e">
        <f>BV6/1000</f>
        <v>#VALUE!</v>
      </c>
      <c r="C19" s="115">
        <f t="shared" ref="C19:G19" si="0">BW6/1000</f>
        <v>3060321</v>
      </c>
      <c r="D19" s="115">
        <f t="shared" si="0"/>
        <v>2971929</v>
      </c>
      <c r="E19" s="115">
        <f t="shared" si="0"/>
        <v>2805691</v>
      </c>
      <c r="F19" s="115">
        <f t="shared" si="0"/>
        <v>2755654</v>
      </c>
      <c r="G19" s="115">
        <f t="shared" si="0"/>
        <v>2580935</v>
      </c>
    </row>
    <row r="20" spans="1:7" x14ac:dyDescent="0.15">
      <c r="A20" s="105" t="s">
        <v>660</v>
      </c>
      <c r="B20" s="115" t="e">
        <f t="shared" ref="B20:G20" si="1">BD6/1000</f>
        <v>#VALUE!</v>
      </c>
      <c r="C20" s="115">
        <f t="shared" si="1"/>
        <v>625277</v>
      </c>
      <c r="D20" s="115">
        <f t="shared" si="1"/>
        <v>726909</v>
      </c>
      <c r="E20" s="115">
        <f t="shared" si="1"/>
        <v>722359</v>
      </c>
      <c r="F20" s="115">
        <f t="shared" si="1"/>
        <v>657556</v>
      </c>
      <c r="G20" s="115">
        <f t="shared" si="1"/>
        <v>709193</v>
      </c>
    </row>
    <row r="21" spans="1:7" x14ac:dyDescent="0.15">
      <c r="A21" s="122" t="s">
        <v>251</v>
      </c>
      <c r="B21" s="126" t="e">
        <f t="shared" ref="B21:G21" si="2">Z6/1000</f>
        <v>#VALUE!</v>
      </c>
      <c r="C21" s="115">
        <f t="shared" si="2"/>
        <v>674177</v>
      </c>
      <c r="D21" s="115">
        <f t="shared" si="2"/>
        <v>804386</v>
      </c>
      <c r="E21" s="115">
        <f t="shared" si="2"/>
        <v>807275</v>
      </c>
      <c r="F21" s="115">
        <f t="shared" si="2"/>
        <v>619601</v>
      </c>
      <c r="G21" s="115">
        <f t="shared" si="2"/>
        <v>749539</v>
      </c>
    </row>
    <row r="22" spans="1:7" x14ac:dyDescent="0.15">
      <c r="A22" s="122" t="s">
        <v>237</v>
      </c>
      <c r="B22" s="126" t="e">
        <f t="shared" ref="B22:G22" si="3">T6/1000</f>
        <v>#VALUE!</v>
      </c>
      <c r="C22" s="115">
        <f t="shared" si="3"/>
        <v>486186</v>
      </c>
      <c r="D22" s="115">
        <f t="shared" si="3"/>
        <v>620273</v>
      </c>
      <c r="E22" s="115">
        <f t="shared" si="3"/>
        <v>640378</v>
      </c>
      <c r="F22" s="115">
        <f t="shared" si="3"/>
        <v>454825</v>
      </c>
      <c r="G22" s="115">
        <f t="shared" si="3"/>
        <v>582794</v>
      </c>
    </row>
    <row r="23" spans="1:7" x14ac:dyDescent="0.15">
      <c r="A23" s="105" t="s">
        <v>658</v>
      </c>
      <c r="B23" s="126" t="e">
        <f t="shared" ref="B23:G23" si="4">AR6/1000</f>
        <v>#VALUE!</v>
      </c>
      <c r="C23" s="115">
        <f t="shared" si="4"/>
        <v>380486</v>
      </c>
      <c r="D23" s="115">
        <f t="shared" si="4"/>
        <v>446187</v>
      </c>
      <c r="E23" s="115">
        <f t="shared" si="4"/>
        <v>471316</v>
      </c>
      <c r="F23" s="115">
        <f t="shared" si="4"/>
        <v>270510</v>
      </c>
      <c r="G23" s="115">
        <f t="shared" si="4"/>
        <v>366788</v>
      </c>
    </row>
    <row r="24" spans="1:7" x14ac:dyDescent="0.15">
      <c r="A24" s="122" t="s">
        <v>653</v>
      </c>
      <c r="B24" s="126" t="e">
        <f t="shared" ref="B24:G24" si="5">B6/1000</f>
        <v>#VALUE!</v>
      </c>
      <c r="C24" s="115">
        <f t="shared" si="5"/>
        <v>483748</v>
      </c>
      <c r="D24" s="115">
        <f t="shared" si="5"/>
        <v>606547</v>
      </c>
      <c r="E24" s="115">
        <f t="shared" si="5"/>
        <v>385729</v>
      </c>
      <c r="F24" s="115">
        <f t="shared" si="5"/>
        <v>514325</v>
      </c>
      <c r="G24" s="115">
        <f t="shared" si="5"/>
        <v>370039</v>
      </c>
    </row>
    <row r="25" spans="1:7" x14ac:dyDescent="0.15">
      <c r="A25" s="122"/>
      <c r="B25" s="115"/>
      <c r="C25" s="115"/>
      <c r="D25" s="115"/>
      <c r="E25" s="115"/>
      <c r="F25" s="115"/>
      <c r="G25" s="115"/>
    </row>
    <row r="26" spans="1:7" x14ac:dyDescent="0.15">
      <c r="A26" s="122" t="s">
        <v>654</v>
      </c>
      <c r="B26" s="125" t="e">
        <f t="shared" ref="B26:G26" si="6">H6/1000</f>
        <v>#VALUE!</v>
      </c>
      <c r="C26" s="125">
        <f t="shared" si="6"/>
        <v>2330297</v>
      </c>
      <c r="D26" s="125">
        <f t="shared" si="6"/>
        <v>1963411</v>
      </c>
      <c r="E26" s="125">
        <f t="shared" si="6"/>
        <v>1879850</v>
      </c>
      <c r="F26" s="125">
        <f t="shared" si="6"/>
        <v>1696343</v>
      </c>
      <c r="G26" s="125">
        <f t="shared" si="6"/>
        <v>1537338</v>
      </c>
    </row>
    <row r="27" spans="1:7" x14ac:dyDescent="0.15">
      <c r="A27" s="122" t="s">
        <v>656</v>
      </c>
      <c r="B27" s="124" t="e">
        <f t="shared" ref="B27:G27" si="7">AF6/1000</f>
        <v>#VALUE!</v>
      </c>
      <c r="C27" s="124" t="e">
        <f t="shared" si="7"/>
        <v>#VALUE!</v>
      </c>
      <c r="D27" s="124" t="e">
        <f t="shared" si="7"/>
        <v>#VALUE!</v>
      </c>
      <c r="E27" s="124" t="e">
        <f t="shared" si="7"/>
        <v>#VALUE!</v>
      </c>
      <c r="F27" s="124" t="e">
        <f t="shared" si="7"/>
        <v>#VALUE!</v>
      </c>
      <c r="G27" s="124" t="e">
        <f t="shared" si="7"/>
        <v>#VALUE!</v>
      </c>
    </row>
    <row r="28" spans="1:7" x14ac:dyDescent="0.15">
      <c r="A28" s="105" t="s">
        <v>659</v>
      </c>
      <c r="B28" s="115" t="e">
        <f t="shared" ref="B28:G28" si="8">AX6/1000</f>
        <v>#VALUE!</v>
      </c>
      <c r="C28" s="115">
        <f t="shared" si="8"/>
        <v>283752</v>
      </c>
      <c r="D28" s="115">
        <f t="shared" si="8"/>
        <v>246262</v>
      </c>
      <c r="E28" s="115">
        <f t="shared" si="8"/>
        <v>183514</v>
      </c>
      <c r="F28" s="115">
        <f t="shared" si="8"/>
        <v>166636</v>
      </c>
      <c r="G28" s="115">
        <f t="shared" si="8"/>
        <v>163860</v>
      </c>
    </row>
    <row r="29" spans="1:7" x14ac:dyDescent="0.15">
      <c r="A29" s="105" t="s">
        <v>661</v>
      </c>
      <c r="B29" s="115" t="e">
        <f t="shared" ref="B29:G29" si="9">BJ6/1000</f>
        <v>#VALUE!</v>
      </c>
      <c r="C29" s="115">
        <f t="shared" si="9"/>
        <v>5596686</v>
      </c>
      <c r="D29" s="115">
        <f t="shared" si="9"/>
        <v>5278563</v>
      </c>
      <c r="E29" s="115">
        <f t="shared" si="9"/>
        <v>5032985</v>
      </c>
      <c r="F29" s="115">
        <f t="shared" si="9"/>
        <v>4480595</v>
      </c>
      <c r="G29" s="115">
        <f t="shared" si="9"/>
        <v>4264915</v>
      </c>
    </row>
    <row r="30" spans="1:7" x14ac:dyDescent="0.15">
      <c r="A30" s="105" t="s">
        <v>655</v>
      </c>
      <c r="B30" s="115" t="e">
        <f t="shared" ref="B30:G30" si="10">N6/1000</f>
        <v>#VALUE!</v>
      </c>
      <c r="C30" s="115">
        <f t="shared" si="10"/>
        <v>804342</v>
      </c>
      <c r="D30" s="115">
        <f t="shared" si="10"/>
        <v>797421</v>
      </c>
      <c r="E30" s="115">
        <f t="shared" si="10"/>
        <v>744102</v>
      </c>
      <c r="F30" s="115">
        <f t="shared" si="10"/>
        <v>954178</v>
      </c>
      <c r="G30" s="115">
        <f t="shared" si="10"/>
        <v>830921</v>
      </c>
    </row>
    <row r="31" spans="1:7" x14ac:dyDescent="0.15">
      <c r="A31" s="105" t="s">
        <v>657</v>
      </c>
      <c r="B31" s="115" t="e">
        <f t="shared" ref="B31:G31" si="11">AL6/1000</f>
        <v>#VALUE!</v>
      </c>
      <c r="C31" s="115">
        <f t="shared" si="11"/>
        <v>3039979</v>
      </c>
      <c r="D31" s="115">
        <f t="shared" si="11"/>
        <v>3109648</v>
      </c>
      <c r="E31" s="115">
        <f t="shared" si="11"/>
        <v>3125534</v>
      </c>
      <c r="F31" s="115">
        <f t="shared" si="11"/>
        <v>2632545</v>
      </c>
      <c r="G31" s="115">
        <f t="shared" si="11"/>
        <v>2549587</v>
      </c>
    </row>
    <row r="32" spans="1:7" x14ac:dyDescent="0.15">
      <c r="A32" s="105" t="s">
        <v>662</v>
      </c>
      <c r="B32" s="115" t="e">
        <f t="shared" ref="B32:G32" si="12">BP6/1000</f>
        <v>#VALUE!</v>
      </c>
      <c r="C32" s="115">
        <f t="shared" si="12"/>
        <v>4930905</v>
      </c>
      <c r="D32" s="115">
        <f t="shared" si="12"/>
        <v>4961883</v>
      </c>
      <c r="E32" s="115">
        <f t="shared" si="12"/>
        <v>4898041</v>
      </c>
      <c r="F32" s="115">
        <f t="shared" si="12"/>
        <v>4510677</v>
      </c>
      <c r="G32" s="115">
        <f t="shared" si="12"/>
        <v>4304192</v>
      </c>
    </row>
    <row r="34" spans="1:7" x14ac:dyDescent="0.15">
      <c r="A34" s="121" t="str">
        <f>A7</f>
        <v>Comcast Corp</v>
      </c>
      <c r="B34" s="115"/>
    </row>
    <row r="35" spans="1:7" x14ac:dyDescent="0.15">
      <c r="A35" s="105" t="s">
        <v>663</v>
      </c>
      <c r="B35" s="123">
        <f t="shared" ref="B35:G35" si="13">BV7/1000</f>
        <v>103564000</v>
      </c>
      <c r="C35" s="123">
        <f t="shared" si="13"/>
        <v>108942000</v>
      </c>
      <c r="D35" s="123">
        <f t="shared" si="13"/>
        <v>94507000</v>
      </c>
      <c r="E35" s="123">
        <f t="shared" si="13"/>
        <v>84526000</v>
      </c>
      <c r="F35" s="123">
        <f t="shared" si="13"/>
        <v>80403000</v>
      </c>
      <c r="G35" s="123">
        <f t="shared" si="13"/>
        <v>74510000</v>
      </c>
    </row>
    <row r="36" spans="1:7" x14ac:dyDescent="0.15">
      <c r="A36" s="105" t="s">
        <v>660</v>
      </c>
      <c r="B36" s="123">
        <f t="shared" ref="B36:G36" si="14">BD7/1000</f>
        <v>17493000</v>
      </c>
      <c r="C36" s="123">
        <f t="shared" si="14"/>
        <v>21125000</v>
      </c>
      <c r="D36" s="123">
        <f t="shared" si="14"/>
        <v>19009000</v>
      </c>
      <c r="E36" s="123">
        <f t="shared" si="14"/>
        <v>17987000</v>
      </c>
      <c r="F36" s="123">
        <f t="shared" si="14"/>
        <v>16859000</v>
      </c>
      <c r="G36" s="123">
        <f t="shared" si="14"/>
        <v>15998000</v>
      </c>
    </row>
    <row r="37" spans="1:7" x14ac:dyDescent="0.15">
      <c r="A37" s="122" t="s">
        <v>251</v>
      </c>
      <c r="B37" s="123">
        <f t="shared" ref="B37:G37" si="15">Z7/1000</f>
        <v>26973000</v>
      </c>
      <c r="C37" s="123">
        <f t="shared" si="15"/>
        <v>30226000</v>
      </c>
      <c r="D37" s="123">
        <f t="shared" si="15"/>
        <v>27065000</v>
      </c>
      <c r="E37" s="123">
        <f t="shared" si="15"/>
        <v>26079000</v>
      </c>
      <c r="F37" s="123">
        <f t="shared" si="15"/>
        <v>24740000</v>
      </c>
      <c r="G37" s="123">
        <f t="shared" si="15"/>
        <v>23065000</v>
      </c>
    </row>
    <row r="38" spans="1:7" x14ac:dyDescent="0.15">
      <c r="A38" s="122" t="s">
        <v>237</v>
      </c>
      <c r="B38" s="123">
        <f t="shared" ref="B38:G38" si="16">T7/1000</f>
        <v>14065000</v>
      </c>
      <c r="C38" s="123">
        <f t="shared" si="16"/>
        <v>16996000</v>
      </c>
      <c r="D38" s="123">
        <f t="shared" si="16"/>
        <v>15242000</v>
      </c>
      <c r="E38" s="123">
        <f t="shared" si="16"/>
        <v>15215000</v>
      </c>
      <c r="F38" s="123">
        <f t="shared" si="16"/>
        <v>14457000</v>
      </c>
      <c r="G38" s="123">
        <f t="shared" si="16"/>
        <v>13697000</v>
      </c>
    </row>
    <row r="39" spans="1:7" x14ac:dyDescent="0.15">
      <c r="A39" s="105" t="s">
        <v>658</v>
      </c>
      <c r="B39" s="123">
        <f t="shared" ref="B39:G39" si="17">AR7/1000</f>
        <v>10534000</v>
      </c>
      <c r="C39" s="123">
        <f t="shared" si="17"/>
        <v>13057000</v>
      </c>
      <c r="D39" s="123">
        <f t="shared" si="17"/>
        <v>11731000</v>
      </c>
      <c r="E39" s="123">
        <f t="shared" si="17"/>
        <v>22714000</v>
      </c>
      <c r="F39" s="123">
        <f t="shared" si="17"/>
        <v>8695000</v>
      </c>
      <c r="G39" s="123">
        <f t="shared" si="17"/>
        <v>8163000</v>
      </c>
    </row>
    <row r="40" spans="1:7" x14ac:dyDescent="0.15">
      <c r="A40" s="122" t="s">
        <v>653</v>
      </c>
      <c r="B40" s="123">
        <f t="shared" ref="B40:G40" si="18">B7/1000</f>
        <v>24737000</v>
      </c>
      <c r="C40" s="123">
        <f t="shared" si="18"/>
        <v>25697000</v>
      </c>
      <c r="D40" s="123">
        <f t="shared" si="18"/>
        <v>24297000</v>
      </c>
      <c r="E40" s="123">
        <f t="shared" si="18"/>
        <v>21403000</v>
      </c>
      <c r="F40" s="123">
        <f t="shared" si="18"/>
        <v>19240000</v>
      </c>
      <c r="G40" s="123">
        <f t="shared" si="18"/>
        <v>18778000</v>
      </c>
    </row>
    <row r="41" spans="1:7" x14ac:dyDescent="0.15">
      <c r="A41" s="122"/>
    </row>
    <row r="42" spans="1:7" x14ac:dyDescent="0.15">
      <c r="A42" s="122" t="s">
        <v>654</v>
      </c>
      <c r="B42" s="125">
        <f t="shared" ref="B42:G42" si="19">H7/1000</f>
        <v>26741000</v>
      </c>
      <c r="C42" s="125">
        <f t="shared" si="19"/>
        <v>25392000</v>
      </c>
      <c r="D42" s="125">
        <f t="shared" si="19"/>
        <v>21848000</v>
      </c>
      <c r="E42" s="125">
        <f t="shared" si="19"/>
        <v>16060000</v>
      </c>
      <c r="F42" s="125">
        <f t="shared" si="19"/>
        <v>16361000</v>
      </c>
      <c r="G42" s="125">
        <f t="shared" si="19"/>
        <v>12303000</v>
      </c>
    </row>
    <row r="43" spans="1:7" x14ac:dyDescent="0.15">
      <c r="A43" s="122" t="s">
        <v>656</v>
      </c>
      <c r="B43" s="124" t="e">
        <f t="shared" ref="B43:G43" si="20">AF7/1000</f>
        <v>#VALUE!</v>
      </c>
      <c r="C43" s="124" t="e">
        <f t="shared" si="20"/>
        <v>#VALUE!</v>
      </c>
      <c r="D43" s="124" t="e">
        <f t="shared" si="20"/>
        <v>#VALUE!</v>
      </c>
      <c r="E43" s="124" t="e">
        <f t="shared" si="20"/>
        <v>#VALUE!</v>
      </c>
      <c r="F43" s="124" t="e">
        <f t="shared" si="20"/>
        <v>#VALUE!</v>
      </c>
      <c r="G43" s="124" t="e">
        <f t="shared" si="20"/>
        <v>#VALUE!</v>
      </c>
    </row>
    <row r="44" spans="1:7" x14ac:dyDescent="0.15">
      <c r="A44" s="105" t="s">
        <v>659</v>
      </c>
      <c r="B44" s="115">
        <f t="shared" ref="B44:G44" si="21">AX7/1000</f>
        <v>51995000</v>
      </c>
      <c r="C44" s="115">
        <f t="shared" si="21"/>
        <v>48322000</v>
      </c>
      <c r="D44" s="115">
        <f t="shared" si="21"/>
        <v>44437000</v>
      </c>
      <c r="E44" s="115">
        <f t="shared" si="21"/>
        <v>38470000</v>
      </c>
      <c r="F44" s="115">
        <f t="shared" si="21"/>
        <v>36253000</v>
      </c>
      <c r="G44" s="115">
        <f t="shared" si="21"/>
        <v>33665000</v>
      </c>
    </row>
    <row r="45" spans="1:7" x14ac:dyDescent="0.15">
      <c r="A45" s="105" t="s">
        <v>661</v>
      </c>
      <c r="B45" s="115">
        <f t="shared" ref="B45:G45" si="22">BJ7/1000</f>
        <v>273869000</v>
      </c>
      <c r="C45" s="115">
        <f t="shared" si="22"/>
        <v>263414000</v>
      </c>
      <c r="D45" s="115">
        <f t="shared" si="22"/>
        <v>251684000</v>
      </c>
      <c r="E45" s="115">
        <f t="shared" si="22"/>
        <v>186949000</v>
      </c>
      <c r="F45" s="115">
        <f t="shared" si="22"/>
        <v>180500000</v>
      </c>
      <c r="G45" s="115">
        <f t="shared" si="22"/>
        <v>166574000</v>
      </c>
    </row>
    <row r="46" spans="1:7" x14ac:dyDescent="0.15">
      <c r="A46" s="105" t="s">
        <v>655</v>
      </c>
      <c r="B46" s="115">
        <f t="shared" ref="B46:G46" si="23">N7/1000</f>
        <v>28796000</v>
      </c>
      <c r="C46" s="115">
        <f t="shared" si="23"/>
        <v>30292000</v>
      </c>
      <c r="D46" s="115">
        <f t="shared" si="23"/>
        <v>27603000</v>
      </c>
      <c r="E46" s="115">
        <f t="shared" si="23"/>
        <v>21561000</v>
      </c>
      <c r="F46" s="115">
        <f t="shared" si="23"/>
        <v>21535000</v>
      </c>
      <c r="G46" s="115">
        <f t="shared" si="23"/>
        <v>18178000</v>
      </c>
    </row>
    <row r="47" spans="1:7" x14ac:dyDescent="0.15">
      <c r="A47" s="105" t="s">
        <v>657</v>
      </c>
      <c r="B47" s="115">
        <f t="shared" ref="B47:G47" si="24">AL7/1000</f>
        <v>100614000</v>
      </c>
      <c r="C47" s="115">
        <f t="shared" si="24"/>
        <v>97765000</v>
      </c>
      <c r="D47" s="115">
        <f t="shared" si="24"/>
        <v>107345000</v>
      </c>
      <c r="E47" s="115">
        <f t="shared" si="24"/>
        <v>59422000</v>
      </c>
      <c r="F47" s="115">
        <f t="shared" si="24"/>
        <v>55566000</v>
      </c>
      <c r="G47" s="115">
        <f t="shared" si="24"/>
        <v>48994000</v>
      </c>
    </row>
    <row r="48" spans="1:7" x14ac:dyDescent="0.15">
      <c r="A48" s="105" t="s">
        <v>662</v>
      </c>
      <c r="B48" s="115">
        <f t="shared" ref="B48:G48" si="25">BP7/1000</f>
        <v>183546000</v>
      </c>
      <c r="C48" s="115">
        <f t="shared" si="25"/>
        <v>180688000</v>
      </c>
      <c r="D48" s="115">
        <f t="shared" si="25"/>
        <v>180071000</v>
      </c>
      <c r="E48" s="115">
        <f t="shared" si="25"/>
        <v>118343000</v>
      </c>
      <c r="F48" s="115">
        <f t="shared" si="25"/>
        <v>126557000</v>
      </c>
      <c r="G48" s="115">
        <f t="shared" si="25"/>
        <v>114305000</v>
      </c>
    </row>
    <row r="49" spans="1:7" x14ac:dyDescent="0.15">
      <c r="A49" s="122"/>
    </row>
    <row r="50" spans="1:7" x14ac:dyDescent="0.15">
      <c r="A50" s="121" t="str">
        <f>A8</f>
        <v>Discovery Inc</v>
      </c>
    </row>
    <row r="51" spans="1:7" x14ac:dyDescent="0.15">
      <c r="A51" s="105" t="s">
        <v>663</v>
      </c>
      <c r="B51" s="115" t="e">
        <f t="shared" ref="B51:G51" si="26">BV8/1000</f>
        <v>#VALUE!</v>
      </c>
      <c r="C51" s="115">
        <f t="shared" si="26"/>
        <v>11144000</v>
      </c>
      <c r="D51" s="115">
        <f t="shared" si="26"/>
        <v>10553000</v>
      </c>
      <c r="E51" s="115">
        <f t="shared" si="26"/>
        <v>6873000</v>
      </c>
      <c r="F51" s="115">
        <f t="shared" si="26"/>
        <v>6497000</v>
      </c>
      <c r="G51" s="115">
        <f t="shared" si="26"/>
        <v>6394000</v>
      </c>
    </row>
    <row r="52" spans="1:7" x14ac:dyDescent="0.15">
      <c r="A52" s="105" t="s">
        <v>660</v>
      </c>
      <c r="B52" s="115" t="e">
        <f t="shared" ref="B52:G52" si="27">BD8/1000</f>
        <v>#VALUE!</v>
      </c>
      <c r="C52" s="115">
        <f t="shared" si="27"/>
        <v>3009000</v>
      </c>
      <c r="D52" s="115">
        <f t="shared" si="27"/>
        <v>1850000</v>
      </c>
      <c r="E52" s="115">
        <f t="shared" si="27"/>
        <v>717000</v>
      </c>
      <c r="F52" s="115">
        <f t="shared" si="27"/>
        <v>1995000</v>
      </c>
      <c r="G52" s="115">
        <f t="shared" si="27"/>
        <v>2002000</v>
      </c>
    </row>
    <row r="53" spans="1:7" x14ac:dyDescent="0.15">
      <c r="A53" s="122" t="s">
        <v>251</v>
      </c>
      <c r="B53" s="115" t="e">
        <f t="shared" ref="B53:G53" si="28">Z8/1000</f>
        <v>#VALUE!</v>
      </c>
      <c r="C53" s="115">
        <f t="shared" si="28"/>
        <v>3158000</v>
      </c>
      <c r="D53" s="115">
        <f t="shared" si="28"/>
        <v>2028000</v>
      </c>
      <c r="E53" s="115">
        <f t="shared" si="28"/>
        <v>678000</v>
      </c>
      <c r="F53" s="115">
        <f t="shared" si="28"/>
        <v>2201000</v>
      </c>
      <c r="G53" s="115">
        <f t="shared" si="28"/>
        <v>2026000</v>
      </c>
    </row>
    <row r="54" spans="1:7" x14ac:dyDescent="0.15">
      <c r="A54" s="122" t="s">
        <v>237</v>
      </c>
      <c r="B54" s="115" t="e">
        <f t="shared" ref="B54:G54" si="29">T8/1000</f>
        <v>#VALUE!</v>
      </c>
      <c r="C54" s="115">
        <f t="shared" si="29"/>
        <v>2296000</v>
      </c>
      <c r="D54" s="115">
        <f t="shared" si="29"/>
        <v>1085000</v>
      </c>
      <c r="E54" s="115">
        <f t="shared" si="29"/>
        <v>74000</v>
      </c>
      <c r="F54" s="115">
        <f t="shared" si="29"/>
        <v>1709000</v>
      </c>
      <c r="G54" s="115">
        <f t="shared" si="29"/>
        <v>1558000</v>
      </c>
    </row>
    <row r="55" spans="1:7" x14ac:dyDescent="0.15">
      <c r="A55" s="105" t="s">
        <v>658</v>
      </c>
      <c r="B55" s="115" t="e">
        <f t="shared" ref="B55:G55" si="30">AR8/1000</f>
        <v>#VALUE!</v>
      </c>
      <c r="C55" s="115">
        <f t="shared" si="30"/>
        <v>2069000</v>
      </c>
      <c r="D55" s="115">
        <f t="shared" si="30"/>
        <v>594000</v>
      </c>
      <c r="E55" s="115">
        <f t="shared" si="30"/>
        <v>-337000</v>
      </c>
      <c r="F55" s="115">
        <f t="shared" si="30"/>
        <v>1194000</v>
      </c>
      <c r="G55" s="115">
        <f t="shared" si="30"/>
        <v>1034000</v>
      </c>
    </row>
    <row r="56" spans="1:7" x14ac:dyDescent="0.15">
      <c r="A56" s="122" t="s">
        <v>653</v>
      </c>
      <c r="B56" s="115" t="e">
        <f t="shared" ref="B56:G56" si="31">B8/1000</f>
        <v>#VALUE!</v>
      </c>
      <c r="C56" s="115">
        <f t="shared" si="31"/>
        <v>3399000</v>
      </c>
      <c r="D56" s="115">
        <f t="shared" si="31"/>
        <v>2576000</v>
      </c>
      <c r="E56" s="115">
        <f t="shared" si="31"/>
        <v>1629000</v>
      </c>
      <c r="F56" s="115">
        <f t="shared" si="31"/>
        <v>1373000</v>
      </c>
      <c r="G56" s="115">
        <f t="shared" si="31"/>
        <v>1277000</v>
      </c>
    </row>
    <row r="57" spans="1:7" x14ac:dyDescent="0.15">
      <c r="A57" s="122"/>
    </row>
    <row r="58" spans="1:7" x14ac:dyDescent="0.15">
      <c r="A58" s="122" t="s">
        <v>654</v>
      </c>
      <c r="B58" s="125" t="e">
        <f t="shared" ref="B58:G58" si="32">H8/1000</f>
        <v>#VALUE!</v>
      </c>
      <c r="C58" s="125">
        <f t="shared" si="32"/>
        <v>5217000</v>
      </c>
      <c r="D58" s="125">
        <f t="shared" si="32"/>
        <v>4231000</v>
      </c>
      <c r="E58" s="125">
        <f t="shared" si="32"/>
        <v>9991000</v>
      </c>
      <c r="F58" s="125">
        <f t="shared" si="32"/>
        <v>2599000</v>
      </c>
      <c r="G58" s="125">
        <f t="shared" si="32"/>
        <v>2596000</v>
      </c>
    </row>
    <row r="59" spans="1:7" x14ac:dyDescent="0.15">
      <c r="A59" s="122" t="s">
        <v>656</v>
      </c>
      <c r="B59" s="115" t="e">
        <f t="shared" ref="B59:G59" si="33">AF8/1000</f>
        <v>#VALUE!</v>
      </c>
      <c r="C59" s="115" t="e">
        <f t="shared" si="33"/>
        <v>#VALUE!</v>
      </c>
      <c r="D59" s="115" t="e">
        <f t="shared" si="33"/>
        <v>#VALUE!</v>
      </c>
      <c r="E59" s="115" t="e">
        <f t="shared" si="33"/>
        <v>#VALUE!</v>
      </c>
      <c r="F59" s="115" t="e">
        <f t="shared" si="33"/>
        <v>#VALUE!</v>
      </c>
      <c r="G59" s="115" t="e">
        <f t="shared" si="33"/>
        <v>#VALUE!</v>
      </c>
    </row>
    <row r="60" spans="1:7" x14ac:dyDescent="0.15">
      <c r="A60" s="105" t="s">
        <v>659</v>
      </c>
      <c r="B60" s="115" t="e">
        <f t="shared" ref="B60:G60" si="34">AX8/1000</f>
        <v>#VALUE!</v>
      </c>
      <c r="C60" s="115">
        <f t="shared" si="34"/>
        <v>951000</v>
      </c>
      <c r="D60" s="115">
        <f t="shared" si="34"/>
        <v>800000</v>
      </c>
      <c r="E60" s="115">
        <f t="shared" si="34"/>
        <v>597000</v>
      </c>
      <c r="F60" s="115">
        <f t="shared" si="34"/>
        <v>482000</v>
      </c>
      <c r="G60" s="115">
        <f t="shared" si="34"/>
        <v>488000</v>
      </c>
    </row>
    <row r="61" spans="1:7" x14ac:dyDescent="0.15">
      <c r="A61" s="105" t="s">
        <v>661</v>
      </c>
      <c r="B61" s="115" t="e">
        <f t="shared" ref="B61:G61" si="35">BJ8/1000</f>
        <v>#VALUE!</v>
      </c>
      <c r="C61" s="115">
        <f t="shared" si="35"/>
        <v>33735000</v>
      </c>
      <c r="D61" s="115">
        <f t="shared" si="35"/>
        <v>32550000</v>
      </c>
      <c r="E61" s="115">
        <f t="shared" si="35"/>
        <v>22555000</v>
      </c>
      <c r="F61" s="115">
        <f t="shared" si="35"/>
        <v>15758000</v>
      </c>
      <c r="G61" s="115">
        <f t="shared" si="35"/>
        <v>15864000</v>
      </c>
    </row>
    <row r="62" spans="1:7" x14ac:dyDescent="0.15">
      <c r="A62" s="105" t="s">
        <v>655</v>
      </c>
      <c r="B62" s="115" t="e">
        <f t="shared" ref="B62:G62" si="36">N8/1000</f>
        <v>#VALUE!</v>
      </c>
      <c r="C62" s="115">
        <f t="shared" si="36"/>
        <v>3239000</v>
      </c>
      <c r="D62" s="115">
        <f t="shared" si="36"/>
        <v>3997000</v>
      </c>
      <c r="E62" s="115">
        <f t="shared" si="36"/>
        <v>1871000</v>
      </c>
      <c r="F62" s="115">
        <f t="shared" si="36"/>
        <v>1561000</v>
      </c>
      <c r="G62" s="115">
        <f t="shared" si="36"/>
        <v>1579000</v>
      </c>
    </row>
    <row r="63" spans="1:7" x14ac:dyDescent="0.15">
      <c r="A63" s="105" t="s">
        <v>657</v>
      </c>
      <c r="B63" s="115" t="e">
        <f t="shared" ref="B63:G63" si="37">AL8/1000</f>
        <v>#VALUE!</v>
      </c>
      <c r="C63" s="115">
        <f t="shared" si="37"/>
        <v>14810000</v>
      </c>
      <c r="D63" s="115">
        <f t="shared" si="37"/>
        <v>15185000</v>
      </c>
      <c r="E63" s="115">
        <f t="shared" si="37"/>
        <v>14755000</v>
      </c>
      <c r="F63" s="115">
        <f t="shared" si="37"/>
        <v>7841000</v>
      </c>
      <c r="G63" s="115">
        <f t="shared" si="37"/>
        <v>7616000</v>
      </c>
    </row>
    <row r="64" spans="1:7" x14ac:dyDescent="0.15">
      <c r="A64" s="105" t="s">
        <v>662</v>
      </c>
      <c r="B64" s="115" t="e">
        <f t="shared" ref="B64:G64" si="38">BP8/1000</f>
        <v>#VALUE!</v>
      </c>
      <c r="C64" s="115">
        <f t="shared" si="38"/>
        <v>23844000</v>
      </c>
      <c r="D64" s="115">
        <f t="shared" si="38"/>
        <v>24164000</v>
      </c>
      <c r="E64" s="115">
        <f t="shared" si="38"/>
        <v>17945000</v>
      </c>
      <c r="F64" s="115">
        <f t="shared" si="38"/>
        <v>10591000</v>
      </c>
      <c r="G64" s="115">
        <f t="shared" si="38"/>
        <v>10413000</v>
      </c>
    </row>
    <row r="66" spans="1:7" x14ac:dyDescent="0.15">
      <c r="A66" s="121" t="str">
        <f>A9</f>
        <v>Disney (Walt) Co. (The)</v>
      </c>
      <c r="C66" s="117"/>
      <c r="D66" s="117"/>
      <c r="E66" s="117"/>
      <c r="F66" s="117"/>
      <c r="G66" s="117"/>
    </row>
    <row r="67" spans="1:7" x14ac:dyDescent="0.15">
      <c r="A67" s="105" t="s">
        <v>663</v>
      </c>
      <c r="B67" s="123">
        <f t="shared" ref="B67:G67" si="39">BV9/1000</f>
        <v>65388000</v>
      </c>
      <c r="C67" s="123">
        <f t="shared" si="39"/>
        <v>69570000</v>
      </c>
      <c r="D67" s="123">
        <f t="shared" si="39"/>
        <v>59434000</v>
      </c>
      <c r="E67" s="123">
        <f t="shared" si="39"/>
        <v>55137000</v>
      </c>
      <c r="F67" s="123">
        <f t="shared" si="39"/>
        <v>55632000</v>
      </c>
      <c r="G67" s="123">
        <f t="shared" si="39"/>
        <v>52465000</v>
      </c>
    </row>
    <row r="68" spans="1:7" x14ac:dyDescent="0.15">
      <c r="A68" s="105" t="s">
        <v>660</v>
      </c>
      <c r="B68" s="123">
        <f t="shared" ref="B68:G68" si="40">BD9/1000</f>
        <v>-1941000</v>
      </c>
      <c r="C68" s="123">
        <f t="shared" si="40"/>
        <v>10668000</v>
      </c>
      <c r="D68" s="123">
        <f t="shared" si="40"/>
        <v>14804000</v>
      </c>
      <c r="E68" s="123">
        <f t="shared" si="40"/>
        <v>13775000</v>
      </c>
      <c r="F68" s="123">
        <f t="shared" si="40"/>
        <v>14202000</v>
      </c>
      <c r="G68" s="123">
        <f t="shared" si="40"/>
        <v>13171000</v>
      </c>
    </row>
    <row r="69" spans="1:7" x14ac:dyDescent="0.15">
      <c r="A69" s="122" t="s">
        <v>251</v>
      </c>
      <c r="B69" s="123">
        <f t="shared" ref="B69:G69" si="41">Z9/1000</f>
        <v>4442000</v>
      </c>
      <c r="C69" s="123">
        <f t="shared" si="41"/>
        <v>19185000</v>
      </c>
      <c r="D69" s="123">
        <f t="shared" si="41"/>
        <v>18416000</v>
      </c>
      <c r="E69" s="123">
        <f t="shared" si="41"/>
        <v>16635000</v>
      </c>
      <c r="F69" s="123">
        <f t="shared" si="41"/>
        <v>16729000</v>
      </c>
      <c r="G69" s="123">
        <f t="shared" si="41"/>
        <v>15525000</v>
      </c>
    </row>
    <row r="70" spans="1:7" x14ac:dyDescent="0.15">
      <c r="A70" s="122" t="s">
        <v>237</v>
      </c>
      <c r="B70" s="127">
        <f t="shared" ref="B70:G70" si="42">T9/1000</f>
        <v>-2394000</v>
      </c>
      <c r="C70" s="127">
        <f t="shared" si="42"/>
        <v>14047000</v>
      </c>
      <c r="D70" s="127">
        <f t="shared" si="42"/>
        <v>14831000</v>
      </c>
      <c r="E70" s="127">
        <f t="shared" si="42"/>
        <v>13468000</v>
      </c>
      <c r="F70" s="127">
        <f t="shared" si="42"/>
        <v>13942000</v>
      </c>
      <c r="G70" s="127">
        <f t="shared" si="42"/>
        <v>13054000</v>
      </c>
    </row>
    <row r="71" spans="1:7" x14ac:dyDescent="0.15">
      <c r="A71" s="105" t="s">
        <v>658</v>
      </c>
      <c r="B71" s="127">
        <f t="shared" ref="B71:G71" si="43">AR9/1000</f>
        <v>-2864000</v>
      </c>
      <c r="C71" s="127">
        <f t="shared" si="43"/>
        <v>11054000</v>
      </c>
      <c r="D71" s="127">
        <f t="shared" si="43"/>
        <v>12598000</v>
      </c>
      <c r="E71" s="127">
        <f t="shared" si="43"/>
        <v>8980000</v>
      </c>
      <c r="F71" s="127">
        <f t="shared" si="43"/>
        <v>9391000</v>
      </c>
      <c r="G71" s="127">
        <f t="shared" si="43"/>
        <v>8382000</v>
      </c>
    </row>
    <row r="72" spans="1:7" x14ac:dyDescent="0.15">
      <c r="A72" s="122" t="s">
        <v>653</v>
      </c>
      <c r="B72" s="127">
        <f t="shared" ref="B72:G72" si="44">B9/1000</f>
        <v>7616000</v>
      </c>
      <c r="C72" s="127">
        <f t="shared" si="44"/>
        <v>5984000</v>
      </c>
      <c r="D72" s="127">
        <f t="shared" si="44"/>
        <v>14295000</v>
      </c>
      <c r="E72" s="127">
        <f t="shared" si="44"/>
        <v>12343000</v>
      </c>
      <c r="F72" s="127">
        <f t="shared" si="44"/>
        <v>13213000</v>
      </c>
      <c r="G72" s="127">
        <f t="shared" si="44"/>
        <v>10909000</v>
      </c>
    </row>
    <row r="73" spans="1:7" x14ac:dyDescent="0.15">
      <c r="A73" s="122"/>
    </row>
    <row r="74" spans="1:7" x14ac:dyDescent="0.15">
      <c r="A74" s="122" t="s">
        <v>654</v>
      </c>
      <c r="B74" s="125">
        <f t="shared" ref="B74:G74" si="45">H9/1000</f>
        <v>35251000</v>
      </c>
      <c r="C74" s="125">
        <f t="shared" si="45"/>
        <v>28124000</v>
      </c>
      <c r="D74" s="125">
        <f t="shared" si="45"/>
        <v>16825000</v>
      </c>
      <c r="E74" s="125">
        <f t="shared" si="45"/>
        <v>15889000</v>
      </c>
      <c r="F74" s="125">
        <f t="shared" si="45"/>
        <v>16966000</v>
      </c>
      <c r="G74" s="125">
        <f t="shared" si="45"/>
        <v>16758000</v>
      </c>
    </row>
    <row r="75" spans="1:7" x14ac:dyDescent="0.15">
      <c r="A75" s="122" t="s">
        <v>656</v>
      </c>
      <c r="B75" s="123">
        <f t="shared" ref="B75:G75" si="46">AF9/1000</f>
        <v>1583000</v>
      </c>
      <c r="C75" s="123">
        <f t="shared" si="46"/>
        <v>1649000</v>
      </c>
      <c r="D75" s="123">
        <f t="shared" si="46"/>
        <v>1392000</v>
      </c>
      <c r="E75" s="123">
        <f t="shared" si="46"/>
        <v>1373000</v>
      </c>
      <c r="F75" s="123">
        <f t="shared" si="46"/>
        <v>1390000</v>
      </c>
      <c r="G75" s="123">
        <f t="shared" si="46"/>
        <v>1571000</v>
      </c>
    </row>
    <row r="76" spans="1:7" x14ac:dyDescent="0.15">
      <c r="A76" s="105" t="s">
        <v>659</v>
      </c>
      <c r="B76" s="115">
        <f t="shared" ref="B76:G76" si="47">AX9/1000</f>
        <v>32078000</v>
      </c>
      <c r="C76" s="115">
        <f t="shared" si="47"/>
        <v>31603000</v>
      </c>
      <c r="D76" s="115">
        <f t="shared" si="47"/>
        <v>29540000</v>
      </c>
      <c r="E76" s="115">
        <f t="shared" si="47"/>
        <v>28406000</v>
      </c>
      <c r="F76" s="115">
        <f t="shared" si="47"/>
        <v>27349000</v>
      </c>
      <c r="G76" s="115">
        <f t="shared" si="47"/>
        <v>25179000</v>
      </c>
    </row>
    <row r="77" spans="1:7" x14ac:dyDescent="0.15">
      <c r="A77" s="105" t="s">
        <v>661</v>
      </c>
      <c r="B77" s="115">
        <f t="shared" ref="B77:G77" si="48">BJ9/1000</f>
        <v>201549000</v>
      </c>
      <c r="C77" s="115">
        <f t="shared" si="48"/>
        <v>193984000</v>
      </c>
      <c r="D77" s="115">
        <f t="shared" si="48"/>
        <v>98598000</v>
      </c>
      <c r="E77" s="115">
        <f t="shared" si="48"/>
        <v>95789000</v>
      </c>
      <c r="F77" s="115">
        <f t="shared" si="48"/>
        <v>92033000</v>
      </c>
      <c r="G77" s="115">
        <f t="shared" si="48"/>
        <v>88182000</v>
      </c>
    </row>
    <row r="78" spans="1:7" x14ac:dyDescent="0.15">
      <c r="A78" s="105" t="s">
        <v>655</v>
      </c>
      <c r="B78" s="115">
        <f t="shared" ref="B78:G78" si="49">N9/1000</f>
        <v>26628000</v>
      </c>
      <c r="C78" s="115">
        <f t="shared" si="49"/>
        <v>31341000</v>
      </c>
      <c r="D78" s="115">
        <f t="shared" si="49"/>
        <v>17860000</v>
      </c>
      <c r="E78" s="115">
        <f t="shared" si="49"/>
        <v>19595000</v>
      </c>
      <c r="F78" s="115">
        <f t="shared" si="49"/>
        <v>16842000</v>
      </c>
      <c r="G78" s="115">
        <f t="shared" si="49"/>
        <v>16334000</v>
      </c>
    </row>
    <row r="79" spans="1:7" x14ac:dyDescent="0.15">
      <c r="A79" s="105" t="s">
        <v>657</v>
      </c>
      <c r="B79" s="115">
        <f t="shared" ref="B79:G79" si="50">AL9/1000</f>
        <v>52917000</v>
      </c>
      <c r="C79" s="115">
        <f t="shared" si="50"/>
        <v>38129000</v>
      </c>
      <c r="D79" s="115">
        <f t="shared" si="50"/>
        <v>17084000</v>
      </c>
      <c r="E79" s="115">
        <f t="shared" si="50"/>
        <v>19119000</v>
      </c>
      <c r="F79" s="115">
        <f t="shared" si="50"/>
        <v>16483000</v>
      </c>
      <c r="G79" s="115">
        <f t="shared" si="50"/>
        <v>12773000</v>
      </c>
    </row>
    <row r="80" spans="1:7" x14ac:dyDescent="0.15">
      <c r="A80" s="105" t="s">
        <v>662</v>
      </c>
      <c r="B80" s="115">
        <f t="shared" ref="B80:G80" si="51">BP9/1000</f>
        <v>117966000</v>
      </c>
      <c r="C80" s="115">
        <f t="shared" si="51"/>
        <v>105107000</v>
      </c>
      <c r="D80" s="115">
        <f t="shared" si="51"/>
        <v>49825000</v>
      </c>
      <c r="E80" s="115">
        <f t="shared" si="51"/>
        <v>54474000</v>
      </c>
      <c r="F80" s="115">
        <f t="shared" si="51"/>
        <v>48768000</v>
      </c>
      <c r="G80" s="115">
        <f t="shared" si="51"/>
        <v>43657000</v>
      </c>
    </row>
    <row r="82" spans="1:7" x14ac:dyDescent="0.15">
      <c r="A82" s="121" t="str">
        <f>A10</f>
        <v>Fox Corp</v>
      </c>
    </row>
    <row r="83" spans="1:7" x14ac:dyDescent="0.15">
      <c r="A83" s="105" t="s">
        <v>663</v>
      </c>
      <c r="B83" s="123">
        <f t="shared" ref="B83:G83" si="52">BV10/1000</f>
        <v>12303000</v>
      </c>
      <c r="C83" s="123">
        <f t="shared" si="52"/>
        <v>11389000</v>
      </c>
      <c r="D83" s="123">
        <f t="shared" si="52"/>
        <v>10153000</v>
      </c>
      <c r="E83" s="123">
        <f t="shared" si="52"/>
        <v>9921000</v>
      </c>
      <c r="F83" s="123">
        <f t="shared" si="52"/>
        <v>8894000</v>
      </c>
      <c r="G83" s="123" t="e">
        <f t="shared" si="52"/>
        <v>#VALUE!</v>
      </c>
    </row>
    <row r="84" spans="1:7" x14ac:dyDescent="0.15">
      <c r="A84" s="105" t="s">
        <v>660</v>
      </c>
      <c r="B84" s="123">
        <f t="shared" ref="B84:G84" si="53">BD10/1000</f>
        <v>2497000</v>
      </c>
      <c r="C84" s="123">
        <f t="shared" si="53"/>
        <v>2431000</v>
      </c>
      <c r="D84" s="123">
        <f t="shared" si="53"/>
        <v>2268000</v>
      </c>
      <c r="E84" s="123">
        <f t="shared" si="53"/>
        <v>2560000</v>
      </c>
      <c r="F84" s="123">
        <f t="shared" si="53"/>
        <v>2016000</v>
      </c>
      <c r="G84" s="123" t="e">
        <f t="shared" si="53"/>
        <v>#VALUE!</v>
      </c>
    </row>
    <row r="85" spans="1:7" x14ac:dyDescent="0.15">
      <c r="A85" s="122" t="s">
        <v>251</v>
      </c>
      <c r="B85" s="123">
        <f t="shared" ref="B85:G85" si="54">Z10/1000</f>
        <v>2020000</v>
      </c>
      <c r="C85" s="123">
        <f t="shared" si="54"/>
        <v>2583000</v>
      </c>
      <c r="D85" s="123">
        <f t="shared" si="54"/>
        <v>2370000</v>
      </c>
      <c r="E85" s="123">
        <f t="shared" si="54"/>
        <v>2418000</v>
      </c>
      <c r="F85" s="123">
        <f t="shared" si="54"/>
        <v>2016000</v>
      </c>
      <c r="G85" s="123" t="e">
        <f t="shared" si="54"/>
        <v>#VALUE!</v>
      </c>
    </row>
    <row r="86" spans="1:7" x14ac:dyDescent="0.15">
      <c r="A86" s="122" t="s">
        <v>237</v>
      </c>
      <c r="B86" s="127">
        <f t="shared" ref="B86:G86" si="55">T10/1000</f>
        <v>1464000</v>
      </c>
      <c r="C86" s="127">
        <f t="shared" si="55"/>
        <v>2224000</v>
      </c>
      <c r="D86" s="127">
        <f t="shared" si="55"/>
        <v>2170000</v>
      </c>
      <c r="E86" s="127">
        <f t="shared" si="55"/>
        <v>2241000</v>
      </c>
      <c r="F86" s="127">
        <f t="shared" si="55"/>
        <v>1843000</v>
      </c>
      <c r="G86" s="127" t="e">
        <f t="shared" si="55"/>
        <v>#VALUE!</v>
      </c>
    </row>
    <row r="87" spans="1:7" x14ac:dyDescent="0.15">
      <c r="A87" s="105" t="s">
        <v>658</v>
      </c>
      <c r="B87" s="127">
        <f t="shared" ref="B87:G87" si="56">AR10/1000</f>
        <v>999000</v>
      </c>
      <c r="C87" s="127">
        <f t="shared" si="56"/>
        <v>1595000</v>
      </c>
      <c r="D87" s="127">
        <f t="shared" si="56"/>
        <v>2187000</v>
      </c>
      <c r="E87" s="127">
        <f t="shared" si="56"/>
        <v>1372000</v>
      </c>
      <c r="F87" s="127">
        <f t="shared" si="56"/>
        <v>1072000</v>
      </c>
      <c r="G87" s="127" t="e">
        <f t="shared" si="56"/>
        <v>#VALUE!</v>
      </c>
    </row>
    <row r="88" spans="1:7" x14ac:dyDescent="0.15">
      <c r="A88" s="122" t="s">
        <v>653</v>
      </c>
      <c r="B88" s="127">
        <f t="shared" ref="B88:G88" si="57">B10/1000</f>
        <v>2365000</v>
      </c>
      <c r="C88" s="127">
        <f t="shared" si="57"/>
        <v>2524000</v>
      </c>
      <c r="D88" s="127">
        <f t="shared" si="57"/>
        <v>1317000</v>
      </c>
      <c r="E88" s="127">
        <f t="shared" si="57"/>
        <v>1655000</v>
      </c>
      <c r="F88" s="127">
        <f t="shared" si="57"/>
        <v>1097000</v>
      </c>
      <c r="G88" s="127" t="e">
        <f t="shared" si="57"/>
        <v>#VALUE!</v>
      </c>
    </row>
    <row r="89" spans="1:7" x14ac:dyDescent="0.15">
      <c r="A89" s="122"/>
    </row>
    <row r="90" spans="1:7" x14ac:dyDescent="0.15">
      <c r="A90" s="122" t="s">
        <v>654</v>
      </c>
      <c r="B90" s="125">
        <f t="shared" ref="B90:G90" si="58">H10/1000</f>
        <v>7486000</v>
      </c>
      <c r="C90" s="125">
        <f t="shared" si="58"/>
        <v>6478000</v>
      </c>
      <c r="D90" s="125">
        <f t="shared" si="58"/>
        <v>5580000</v>
      </c>
      <c r="E90" s="125">
        <f t="shared" si="58"/>
        <v>2807000</v>
      </c>
      <c r="F90" s="125" t="e">
        <f t="shared" si="58"/>
        <v>#VALUE!</v>
      </c>
      <c r="G90" s="125" t="e">
        <f t="shared" si="58"/>
        <v>#VALUE!</v>
      </c>
    </row>
    <row r="91" spans="1:7" x14ac:dyDescent="0.15">
      <c r="A91" s="122" t="s">
        <v>656</v>
      </c>
      <c r="B91" s="123">
        <f t="shared" ref="B91:G91" si="59">AF10/1000</f>
        <v>856000</v>
      </c>
      <c r="C91" s="123">
        <f t="shared" si="59"/>
        <v>1129000</v>
      </c>
      <c r="D91" s="123">
        <f t="shared" si="59"/>
        <v>1180000</v>
      </c>
      <c r="E91" s="123">
        <f t="shared" si="59"/>
        <v>1052000</v>
      </c>
      <c r="F91" s="123" t="e">
        <f t="shared" si="59"/>
        <v>#VALUE!</v>
      </c>
      <c r="G91" s="123" t="e">
        <f t="shared" si="59"/>
        <v>#VALUE!</v>
      </c>
    </row>
    <row r="92" spans="1:7" x14ac:dyDescent="0.15">
      <c r="A92" s="105" t="s">
        <v>659</v>
      </c>
      <c r="B92" s="115">
        <f t="shared" ref="B92:G92" si="60">AX10/1000</f>
        <v>1498000</v>
      </c>
      <c r="C92" s="115">
        <f t="shared" si="60"/>
        <v>1313000</v>
      </c>
      <c r="D92" s="115">
        <f t="shared" si="60"/>
        <v>1169000</v>
      </c>
      <c r="E92" s="115">
        <f t="shared" si="60"/>
        <v>1123000</v>
      </c>
      <c r="F92" s="115" t="e">
        <f t="shared" si="60"/>
        <v>#VALUE!</v>
      </c>
      <c r="G92" s="115" t="e">
        <f t="shared" si="60"/>
        <v>#VALUE!</v>
      </c>
    </row>
    <row r="93" spans="1:7" x14ac:dyDescent="0.15">
      <c r="A93" s="105" t="s">
        <v>661</v>
      </c>
      <c r="B93" s="115">
        <f t="shared" ref="B93:G93" si="61">BJ10/1000</f>
        <v>21750000</v>
      </c>
      <c r="C93" s="115">
        <f t="shared" si="61"/>
        <v>19509000</v>
      </c>
      <c r="D93" s="115">
        <f t="shared" si="61"/>
        <v>13121000</v>
      </c>
      <c r="E93" s="115">
        <f t="shared" si="61"/>
        <v>10348000</v>
      </c>
      <c r="F93" s="115" t="e">
        <f t="shared" si="61"/>
        <v>#VALUE!</v>
      </c>
      <c r="G93" s="115" t="e">
        <f t="shared" si="61"/>
        <v>#VALUE!</v>
      </c>
    </row>
    <row r="94" spans="1:7" x14ac:dyDescent="0.15">
      <c r="A94" s="105" t="s">
        <v>655</v>
      </c>
      <c r="B94" s="115">
        <f t="shared" ref="B94:G94" si="62">N10/1000</f>
        <v>1906000</v>
      </c>
      <c r="C94" s="115">
        <f t="shared" si="62"/>
        <v>1712000</v>
      </c>
      <c r="D94" s="115">
        <f t="shared" si="62"/>
        <v>1759000</v>
      </c>
      <c r="E94" s="115">
        <f t="shared" si="62"/>
        <v>2042000</v>
      </c>
      <c r="F94" s="115" t="e">
        <f t="shared" si="62"/>
        <v>#VALUE!</v>
      </c>
      <c r="G94" s="115" t="e">
        <f t="shared" si="62"/>
        <v>#VALUE!</v>
      </c>
    </row>
    <row r="95" spans="1:7" x14ac:dyDescent="0.15">
      <c r="A95" s="105" t="s">
        <v>657</v>
      </c>
      <c r="B95" s="115">
        <f t="shared" ref="B95:G95" si="63">AL10/1000</f>
        <v>7946000</v>
      </c>
      <c r="C95" s="115">
        <f t="shared" si="63"/>
        <v>6751000</v>
      </c>
      <c r="D95" s="115" t="e">
        <f t="shared" si="63"/>
        <v>#VALUE!</v>
      </c>
      <c r="E95" s="115" t="e">
        <f t="shared" si="63"/>
        <v>#VALUE!</v>
      </c>
      <c r="F95" s="115" t="e">
        <f t="shared" si="63"/>
        <v>#VALUE!</v>
      </c>
      <c r="G95" s="115" t="e">
        <f t="shared" si="63"/>
        <v>#VALUE!</v>
      </c>
    </row>
    <row r="96" spans="1:7" x14ac:dyDescent="0.15">
      <c r="A96" s="105" t="s">
        <v>662</v>
      </c>
      <c r="B96" s="115">
        <f t="shared" ref="B96:G96" si="64">BP10/1000</f>
        <v>11656000</v>
      </c>
      <c r="C96" s="115">
        <f t="shared" si="64"/>
        <v>9562000</v>
      </c>
      <c r="D96" s="115">
        <f t="shared" si="64"/>
        <v>3527000</v>
      </c>
      <c r="E96" s="115">
        <f t="shared" si="64"/>
        <v>4255000</v>
      </c>
      <c r="F96" s="115" t="e">
        <f t="shared" si="64"/>
        <v>#VALUE!</v>
      </c>
      <c r="G96" s="115" t="e">
        <f t="shared" si="64"/>
        <v>#VALUE!</v>
      </c>
    </row>
    <row r="98" spans="1:7" x14ac:dyDescent="0.15">
      <c r="A98" s="121" t="str">
        <f>A11</f>
        <v>Liberty Media Corp (DE)</v>
      </c>
    </row>
    <row r="99" spans="1:7" x14ac:dyDescent="0.15">
      <c r="A99" s="105" t="s">
        <v>663</v>
      </c>
      <c r="B99" s="115" t="e">
        <f t="shared" ref="B99:G99" si="65">BV11/1000</f>
        <v>#VALUE!</v>
      </c>
      <c r="C99" s="115">
        <f t="shared" si="65"/>
        <v>10292000</v>
      </c>
      <c r="D99" s="115">
        <f t="shared" si="65"/>
        <v>8040000</v>
      </c>
      <c r="E99" s="115">
        <f t="shared" si="65"/>
        <v>7594000</v>
      </c>
      <c r="F99" s="115">
        <f t="shared" si="65"/>
        <v>5276000</v>
      </c>
      <c r="G99" s="115">
        <f t="shared" si="65"/>
        <v>4795000</v>
      </c>
    </row>
    <row r="100" spans="1:7" x14ac:dyDescent="0.15">
      <c r="A100" s="105" t="s">
        <v>660</v>
      </c>
      <c r="B100" s="115" t="e">
        <f t="shared" ref="B100:G100" si="66">BD11/1000</f>
        <v>#VALUE!</v>
      </c>
      <c r="C100" s="115">
        <f t="shared" si="66"/>
        <v>1470000</v>
      </c>
      <c r="D100" s="115">
        <f t="shared" si="66"/>
        <v>1511000</v>
      </c>
      <c r="E100" s="115">
        <f t="shared" si="66"/>
        <v>1394000</v>
      </c>
      <c r="F100" s="115">
        <f t="shared" si="66"/>
        <v>1734000</v>
      </c>
      <c r="G100" s="115">
        <f t="shared" si="66"/>
        <v>954000</v>
      </c>
    </row>
    <row r="101" spans="1:7" x14ac:dyDescent="0.15">
      <c r="A101" s="122" t="s">
        <v>251</v>
      </c>
      <c r="B101" s="115" t="e">
        <f t="shared" ref="B101:G101" si="67">Z11/1000</f>
        <v>#VALUE!</v>
      </c>
      <c r="C101" s="115">
        <f t="shared" si="67"/>
        <v>1435000</v>
      </c>
      <c r="D101" s="115">
        <f t="shared" si="67"/>
        <v>1880000</v>
      </c>
      <c r="E101" s="115">
        <f t="shared" si="67"/>
        <v>1544000</v>
      </c>
      <c r="F101" s="115">
        <f t="shared" si="67"/>
        <v>1953000</v>
      </c>
      <c r="G101" s="115">
        <f t="shared" si="67"/>
        <v>1033000</v>
      </c>
    </row>
    <row r="102" spans="1:7" x14ac:dyDescent="0.15">
      <c r="A102" s="122" t="s">
        <v>237</v>
      </c>
      <c r="B102" s="115" t="e">
        <f t="shared" ref="B102:G102" si="68">T11/1000</f>
        <v>#VALUE!</v>
      </c>
      <c r="C102" s="115">
        <f t="shared" si="68"/>
        <v>507000</v>
      </c>
      <c r="D102" s="115">
        <f t="shared" si="68"/>
        <v>1023000</v>
      </c>
      <c r="E102" s="115">
        <f t="shared" si="68"/>
        <v>723000</v>
      </c>
      <c r="F102" s="115">
        <f t="shared" si="68"/>
        <v>1405000</v>
      </c>
      <c r="G102" s="115">
        <f t="shared" si="68"/>
        <v>498000</v>
      </c>
    </row>
    <row r="103" spans="1:7" x14ac:dyDescent="0.15">
      <c r="A103" s="105" t="s">
        <v>658</v>
      </c>
      <c r="B103" s="115" t="e">
        <f t="shared" ref="B103:G103" si="69">AR11/1000</f>
        <v>#VALUE!</v>
      </c>
      <c r="C103" s="115">
        <f t="shared" si="69"/>
        <v>106000</v>
      </c>
      <c r="D103" s="115">
        <f t="shared" si="69"/>
        <v>531000</v>
      </c>
      <c r="E103" s="115">
        <f t="shared" si="69"/>
        <v>1354000</v>
      </c>
      <c r="F103" s="115">
        <f t="shared" si="69"/>
        <v>680000</v>
      </c>
      <c r="G103" s="115">
        <f t="shared" si="69"/>
        <v>64000</v>
      </c>
    </row>
    <row r="104" spans="1:7" x14ac:dyDescent="0.15">
      <c r="A104" s="122" t="s">
        <v>653</v>
      </c>
      <c r="B104" s="115" t="e">
        <f t="shared" ref="B104:G104" si="70">B11/1000</f>
        <v>#VALUE!</v>
      </c>
      <c r="C104" s="115">
        <f t="shared" si="70"/>
        <v>2313000</v>
      </c>
      <c r="D104" s="115">
        <f t="shared" si="70"/>
        <v>2156000</v>
      </c>
      <c r="E104" s="115">
        <f t="shared" si="70"/>
        <v>1732000</v>
      </c>
      <c r="F104" s="115">
        <f t="shared" si="70"/>
        <v>2171000</v>
      </c>
      <c r="G104" s="115">
        <f t="shared" si="70"/>
        <v>1213000</v>
      </c>
    </row>
    <row r="105" spans="1:7" x14ac:dyDescent="0.15">
      <c r="A105" s="122"/>
    </row>
    <row r="106" spans="1:7" x14ac:dyDescent="0.15">
      <c r="A106" s="122" t="s">
        <v>654</v>
      </c>
      <c r="B106" s="125" t="e">
        <f t="shared" ref="B106:G106" si="71">H11/1000</f>
        <v>#VALUE!</v>
      </c>
      <c r="C106" s="125">
        <f t="shared" si="71"/>
        <v>2405000</v>
      </c>
      <c r="D106" s="125">
        <f t="shared" si="71"/>
        <v>1082000</v>
      </c>
      <c r="E106" s="125">
        <f t="shared" si="71"/>
        <v>1763000</v>
      </c>
      <c r="F106" s="125">
        <f t="shared" si="71"/>
        <v>1029000</v>
      </c>
      <c r="G106" s="125">
        <f t="shared" si="71"/>
        <v>691000</v>
      </c>
    </row>
    <row r="107" spans="1:7" x14ac:dyDescent="0.15">
      <c r="A107" s="122" t="s">
        <v>656</v>
      </c>
      <c r="B107" s="123" t="e">
        <f t="shared" ref="B107:G107" si="72">AF11/1000</f>
        <v>#VALUE!</v>
      </c>
      <c r="C107" s="123" t="e">
        <f t="shared" si="72"/>
        <v>#VALUE!</v>
      </c>
      <c r="D107" s="123" t="e">
        <f t="shared" si="72"/>
        <v>#VALUE!</v>
      </c>
      <c r="E107" s="123" t="e">
        <f t="shared" si="72"/>
        <v>#VALUE!</v>
      </c>
      <c r="F107" s="123" t="e">
        <f t="shared" si="72"/>
        <v>#VALUE!</v>
      </c>
      <c r="G107" s="123" t="e">
        <f t="shared" si="72"/>
        <v>#VALUE!</v>
      </c>
    </row>
    <row r="108" spans="1:7" x14ac:dyDescent="0.15">
      <c r="A108" s="105" t="s">
        <v>659</v>
      </c>
      <c r="B108" s="115" t="e">
        <f t="shared" ref="B108:G108" si="73">AX11/1000</f>
        <v>#VALUE!</v>
      </c>
      <c r="C108" s="115">
        <f t="shared" si="73"/>
        <v>2262000</v>
      </c>
      <c r="D108" s="115">
        <f t="shared" si="73"/>
        <v>2469000</v>
      </c>
      <c r="E108" s="115">
        <f t="shared" si="73"/>
        <v>2541000</v>
      </c>
      <c r="F108" s="115">
        <f t="shared" si="73"/>
        <v>2352000</v>
      </c>
      <c r="G108" s="115">
        <f t="shared" si="73"/>
        <v>1879000</v>
      </c>
    </row>
    <row r="109" spans="1:7" x14ac:dyDescent="0.15">
      <c r="A109" s="105" t="s">
        <v>661</v>
      </c>
      <c r="B109" s="115" t="e">
        <f t="shared" ref="B109:G109" si="74">BJ11/1000</f>
        <v>#VALUE!</v>
      </c>
      <c r="C109" s="115">
        <f t="shared" si="74"/>
        <v>44189000</v>
      </c>
      <c r="D109" s="115">
        <f t="shared" si="74"/>
        <v>40828000</v>
      </c>
      <c r="E109" s="115">
        <f t="shared" si="74"/>
        <v>41996000</v>
      </c>
      <c r="F109" s="115">
        <f t="shared" si="74"/>
        <v>31377000</v>
      </c>
      <c r="G109" s="115">
        <f t="shared" si="74"/>
        <v>29798000</v>
      </c>
    </row>
    <row r="110" spans="1:7" x14ac:dyDescent="0.15">
      <c r="A110" s="105" t="s">
        <v>655</v>
      </c>
      <c r="B110" s="115" t="e">
        <f t="shared" ref="B110:G110" si="75">N11/1000</f>
        <v>#VALUE!</v>
      </c>
      <c r="C110" s="115">
        <f t="shared" si="75"/>
        <v>3888000</v>
      </c>
      <c r="D110" s="115">
        <f t="shared" si="75"/>
        <v>3244000</v>
      </c>
      <c r="E110" s="115">
        <f t="shared" si="75"/>
        <v>3979000</v>
      </c>
      <c r="F110" s="115">
        <f t="shared" si="75"/>
        <v>2872000</v>
      </c>
      <c r="G110" s="115">
        <f t="shared" si="75"/>
        <v>2813000</v>
      </c>
    </row>
    <row r="111" spans="1:7" x14ac:dyDescent="0.15">
      <c r="A111" s="105" t="s">
        <v>657</v>
      </c>
      <c r="B111" s="115" t="e">
        <f t="shared" ref="B111:G111" si="76">AL11/1000</f>
        <v>#VALUE!</v>
      </c>
      <c r="C111" s="115">
        <f t="shared" si="76"/>
        <v>15416000</v>
      </c>
      <c r="D111" s="115">
        <f t="shared" si="76"/>
        <v>13371000</v>
      </c>
      <c r="E111" s="115">
        <f t="shared" si="76"/>
        <v>13186000</v>
      </c>
      <c r="F111" s="115">
        <f t="shared" si="76"/>
        <v>8013000</v>
      </c>
      <c r="G111" s="115">
        <f t="shared" si="76"/>
        <v>6626000</v>
      </c>
    </row>
    <row r="112" spans="1:7" x14ac:dyDescent="0.15">
      <c r="A112" s="105" t="s">
        <v>662</v>
      </c>
      <c r="B112" s="115" t="e">
        <f t="shared" ref="B112:G112" si="77">BP11/1000</f>
        <v>#VALUE!</v>
      </c>
      <c r="C112" s="115">
        <f t="shared" si="77"/>
        <v>27894000</v>
      </c>
      <c r="D112" s="115">
        <f t="shared" si="77"/>
        <v>24233000</v>
      </c>
      <c r="E112" s="115">
        <f t="shared" si="77"/>
        <v>25053000</v>
      </c>
      <c r="F112" s="115">
        <f t="shared" si="77"/>
        <v>19621000</v>
      </c>
      <c r="G112" s="115">
        <f t="shared" si="77"/>
        <v>18865000</v>
      </c>
    </row>
    <row r="114" spans="1:7" x14ac:dyDescent="0.15">
      <c r="A114" s="121" t="str">
        <f>A12</f>
        <v>Nexstar Media Group Inc</v>
      </c>
    </row>
    <row r="115" spans="1:7" x14ac:dyDescent="0.15">
      <c r="A115" s="105" t="s">
        <v>663</v>
      </c>
      <c r="B115" s="115" t="e">
        <f t="shared" ref="B115:G115" si="78">BV12/1000</f>
        <v>#VALUE!</v>
      </c>
      <c r="C115" s="115">
        <f t="shared" si="78"/>
        <v>3039324</v>
      </c>
      <c r="D115" s="115">
        <f t="shared" si="78"/>
        <v>2766696</v>
      </c>
      <c r="E115" s="115">
        <f t="shared" si="78"/>
        <v>2431966</v>
      </c>
      <c r="F115" s="115">
        <f t="shared" si="78"/>
        <v>1103190</v>
      </c>
      <c r="G115" s="115">
        <f t="shared" si="78"/>
        <v>896377</v>
      </c>
    </row>
    <row r="116" spans="1:7" x14ac:dyDescent="0.15">
      <c r="A116" s="105" t="s">
        <v>660</v>
      </c>
      <c r="B116" s="115" t="e">
        <f t="shared" ref="B116:G116" si="79">BD12/1000</f>
        <v>#VALUE!</v>
      </c>
      <c r="C116" s="115">
        <f t="shared" si="79"/>
        <v>559040</v>
      </c>
      <c r="D116" s="115">
        <f t="shared" si="79"/>
        <v>757779</v>
      </c>
      <c r="E116" s="115">
        <f t="shared" si="79"/>
        <v>461029</v>
      </c>
      <c r="F116" s="115">
        <f t="shared" si="79"/>
        <v>287308</v>
      </c>
      <c r="G116" s="115">
        <f t="shared" si="79"/>
        <v>206107</v>
      </c>
    </row>
    <row r="117" spans="1:7" x14ac:dyDescent="0.15">
      <c r="A117" s="122" t="s">
        <v>251</v>
      </c>
      <c r="B117" s="115" t="e">
        <f t="shared" ref="B117:G117" si="80">Z12/1000</f>
        <v>#VALUE!</v>
      </c>
      <c r="C117" s="115">
        <f t="shared" si="80"/>
        <v>1086381</v>
      </c>
      <c r="D117" s="115">
        <f t="shared" si="80"/>
        <v>1074476</v>
      </c>
      <c r="E117" s="115">
        <f t="shared" si="80"/>
        <v>805645</v>
      </c>
      <c r="F117" s="115">
        <f t="shared" si="80"/>
        <v>407086</v>
      </c>
      <c r="G117" s="115">
        <f t="shared" si="80"/>
        <v>323441</v>
      </c>
    </row>
    <row r="118" spans="1:7" x14ac:dyDescent="0.15">
      <c r="A118" s="122" t="s">
        <v>237</v>
      </c>
      <c r="B118" s="115" t="e">
        <f t="shared" ref="B118:G118" si="81">T12/1000</f>
        <v>#VALUE!</v>
      </c>
      <c r="C118" s="115">
        <f t="shared" si="81"/>
        <v>373321</v>
      </c>
      <c r="D118" s="115">
        <f t="shared" si="81"/>
        <v>532945</v>
      </c>
      <c r="E118" s="115">
        <f t="shared" si="81"/>
        <v>241384</v>
      </c>
      <c r="F118" s="115">
        <f t="shared" si="81"/>
        <v>170672</v>
      </c>
      <c r="G118" s="115">
        <f t="shared" si="81"/>
        <v>125070</v>
      </c>
    </row>
    <row r="119" spans="1:7" x14ac:dyDescent="0.15">
      <c r="A119" s="105" t="s">
        <v>658</v>
      </c>
      <c r="B119" s="115" t="e">
        <f t="shared" ref="B119:G119" si="82">AR12/1000</f>
        <v>#VALUE!</v>
      </c>
      <c r="C119" s="115">
        <f t="shared" si="82"/>
        <v>230259</v>
      </c>
      <c r="D119" s="115">
        <f t="shared" si="82"/>
        <v>389477</v>
      </c>
      <c r="E119" s="115">
        <f t="shared" si="82"/>
        <v>474997</v>
      </c>
      <c r="F119" s="115">
        <f t="shared" si="82"/>
        <v>91537</v>
      </c>
      <c r="G119" s="115">
        <f t="shared" si="82"/>
        <v>77684</v>
      </c>
    </row>
    <row r="120" spans="1:7" x14ac:dyDescent="0.15">
      <c r="A120" s="122" t="s">
        <v>653</v>
      </c>
      <c r="B120" s="115" t="e">
        <f t="shared" ref="B120:G120" si="83">B12/1000</f>
        <v>#VALUE!</v>
      </c>
      <c r="C120" s="115">
        <f t="shared" si="83"/>
        <v>417467</v>
      </c>
      <c r="D120" s="115">
        <f t="shared" si="83"/>
        <v>736867</v>
      </c>
      <c r="E120" s="115">
        <f t="shared" si="83"/>
        <v>136721</v>
      </c>
      <c r="F120" s="115">
        <f t="shared" si="83"/>
        <v>247757</v>
      </c>
      <c r="G120" s="115">
        <f t="shared" si="83"/>
        <v>197266</v>
      </c>
    </row>
    <row r="121" spans="1:7" x14ac:dyDescent="0.15">
      <c r="A121" s="122"/>
    </row>
    <row r="122" spans="1:7" x14ac:dyDescent="0.15">
      <c r="A122" s="122" t="s">
        <v>654</v>
      </c>
      <c r="B122" s="125" t="e">
        <f t="shared" ref="B122:G122" si="84">H12/1000</f>
        <v>#VALUE!</v>
      </c>
      <c r="C122" s="125">
        <f t="shared" si="84"/>
        <v>1351767</v>
      </c>
      <c r="D122" s="125">
        <f t="shared" si="84"/>
        <v>767075</v>
      </c>
      <c r="E122" s="125">
        <f t="shared" si="84"/>
        <v>1056218</v>
      </c>
      <c r="F122" s="125">
        <f t="shared" si="84"/>
        <v>363217</v>
      </c>
      <c r="G122" s="125">
        <f t="shared" si="84"/>
        <v>260028</v>
      </c>
    </row>
    <row r="123" spans="1:7" x14ac:dyDescent="0.15">
      <c r="A123" s="122" t="s">
        <v>656</v>
      </c>
      <c r="B123" s="115" t="e">
        <f t="shared" ref="B123:G123" si="85">AF12/1000</f>
        <v>#VALUE!</v>
      </c>
      <c r="C123" s="115" t="e">
        <f t="shared" si="85"/>
        <v>#VALUE!</v>
      </c>
      <c r="D123" s="115" t="e">
        <f t="shared" si="85"/>
        <v>#VALUE!</v>
      </c>
      <c r="E123" s="115" t="e">
        <f t="shared" si="85"/>
        <v>#VALUE!</v>
      </c>
      <c r="F123" s="115" t="e">
        <f t="shared" si="85"/>
        <v>#VALUE!</v>
      </c>
      <c r="G123" s="115" t="e">
        <f t="shared" si="85"/>
        <v>#VALUE!</v>
      </c>
    </row>
    <row r="124" spans="1:7" x14ac:dyDescent="0.15">
      <c r="A124" s="105" t="s">
        <v>659</v>
      </c>
      <c r="B124" s="115" t="e">
        <f t="shared" ref="B124:G124" si="86">AX12/1000</f>
        <v>#VALUE!</v>
      </c>
      <c r="C124" s="115">
        <f t="shared" si="86"/>
        <v>1290428</v>
      </c>
      <c r="D124" s="115">
        <f t="shared" si="86"/>
        <v>731538</v>
      </c>
      <c r="E124" s="115">
        <f t="shared" si="86"/>
        <v>734138</v>
      </c>
      <c r="F124" s="115">
        <f t="shared" si="86"/>
        <v>276153</v>
      </c>
      <c r="G124" s="115">
        <f t="shared" si="86"/>
        <v>266583</v>
      </c>
    </row>
    <row r="125" spans="1:7" x14ac:dyDescent="0.15">
      <c r="A125" s="105" t="s">
        <v>661</v>
      </c>
      <c r="B125" s="115" t="e">
        <f t="shared" ref="B125:G125" si="87">BJ12/1000</f>
        <v>#VALUE!</v>
      </c>
      <c r="C125" s="115">
        <f t="shared" si="87"/>
        <v>13989737</v>
      </c>
      <c r="D125" s="115">
        <f t="shared" si="87"/>
        <v>7062030</v>
      </c>
      <c r="E125" s="115">
        <f t="shared" si="87"/>
        <v>7481647</v>
      </c>
      <c r="F125" s="115">
        <f t="shared" si="87"/>
        <v>2966085</v>
      </c>
      <c r="G125" s="115">
        <f t="shared" si="87"/>
        <v>1835134</v>
      </c>
    </row>
    <row r="126" spans="1:7" x14ac:dyDescent="0.15">
      <c r="A126" s="105" t="s">
        <v>655</v>
      </c>
      <c r="B126" s="115" t="e">
        <f t="shared" ref="B126:G126" si="88">N12/1000</f>
        <v>#VALUE!</v>
      </c>
      <c r="C126" s="115">
        <f t="shared" si="88"/>
        <v>947557</v>
      </c>
      <c r="D126" s="115">
        <f t="shared" si="88"/>
        <v>404172</v>
      </c>
      <c r="E126" s="115">
        <f t="shared" si="88"/>
        <v>670703</v>
      </c>
      <c r="F126" s="115">
        <f t="shared" si="88"/>
        <v>189578</v>
      </c>
      <c r="G126" s="115">
        <f t="shared" si="88"/>
        <v>146061</v>
      </c>
    </row>
    <row r="127" spans="1:7" x14ac:dyDescent="0.15">
      <c r="A127" s="105" t="s">
        <v>657</v>
      </c>
      <c r="B127" s="115" t="e">
        <f t="shared" ref="B127:G127" si="89">AL12/1000</f>
        <v>#VALUE!</v>
      </c>
      <c r="C127" s="115">
        <f t="shared" si="89"/>
        <v>8383278</v>
      </c>
      <c r="D127" s="115">
        <f t="shared" si="89"/>
        <v>3884910</v>
      </c>
      <c r="E127" s="115">
        <f t="shared" si="89"/>
        <v>4269652</v>
      </c>
      <c r="F127" s="115">
        <f t="shared" si="89"/>
        <v>2314326</v>
      </c>
      <c r="G127" s="115">
        <f t="shared" si="89"/>
        <v>1454075</v>
      </c>
    </row>
    <row r="128" spans="1:7" x14ac:dyDescent="0.15">
      <c r="A128" s="105" t="s">
        <v>662</v>
      </c>
      <c r="B128" s="115" t="e">
        <f t="shared" ref="B128:G128" si="90">BP12/1000</f>
        <v>#VALUE!</v>
      </c>
      <c r="C128" s="115">
        <f t="shared" si="90"/>
        <v>11958240</v>
      </c>
      <c r="D128" s="115">
        <f t="shared" si="90"/>
        <v>5209256</v>
      </c>
      <c r="E128" s="115">
        <f t="shared" si="90"/>
        <v>5911033</v>
      </c>
      <c r="F128" s="115">
        <f t="shared" si="90"/>
        <v>2796944</v>
      </c>
      <c r="G128" s="115">
        <f t="shared" si="90"/>
        <v>1754460</v>
      </c>
    </row>
    <row r="130" spans="1:7" x14ac:dyDescent="0.15">
      <c r="A130" s="121" t="str">
        <f>A13</f>
        <v>Sony Corp</v>
      </c>
    </row>
    <row r="131" spans="1:7" x14ac:dyDescent="0.15">
      <c r="A131" s="105" t="s">
        <v>663</v>
      </c>
      <c r="B131" s="123">
        <f t="shared" ref="B131:G131" si="91">BV13/1000</f>
        <v>83282520.681449994</v>
      </c>
      <c r="C131" s="123">
        <f t="shared" si="91"/>
        <v>87374128.912990004</v>
      </c>
      <c r="D131" s="123">
        <f t="shared" si="91"/>
        <v>86147005.390139997</v>
      </c>
      <c r="E131" s="123">
        <f t="shared" si="91"/>
        <v>76661821.002499998</v>
      </c>
      <c r="F131" s="123">
        <f t="shared" si="91"/>
        <v>81728029.782240003</v>
      </c>
      <c r="G131" s="123">
        <f t="shared" si="91"/>
        <v>82838828.387600005</v>
      </c>
    </row>
    <row r="132" spans="1:7" x14ac:dyDescent="0.15">
      <c r="A132" s="105" t="s">
        <v>660</v>
      </c>
      <c r="B132" s="123">
        <f t="shared" ref="B132:G132" si="92">BD13/1000</f>
        <v>8427400.9869400002</v>
      </c>
      <c r="C132" s="123">
        <f t="shared" si="92"/>
        <v>9046604.0581800006</v>
      </c>
      <c r="D132" s="123">
        <f t="shared" si="92"/>
        <v>7323025.1060699997</v>
      </c>
      <c r="E132" s="123">
        <f t="shared" si="92"/>
        <v>2874990.9550300003</v>
      </c>
      <c r="F132" s="123">
        <f t="shared" si="92"/>
        <v>2943755.44643</v>
      </c>
      <c r="G132" s="123">
        <f t="shared" si="92"/>
        <v>651619.17678999994</v>
      </c>
    </row>
    <row r="133" spans="1:7" x14ac:dyDescent="0.15">
      <c r="A133" s="122" t="s">
        <v>251</v>
      </c>
      <c r="B133" s="123">
        <f t="shared" ref="B133:G133" si="93">Z13/1000</f>
        <v>15610709.149120001</v>
      </c>
      <c r="C133" s="123">
        <f t="shared" si="93"/>
        <v>17423177.801550001</v>
      </c>
      <c r="D133" s="123">
        <f t="shared" si="93"/>
        <v>14166090.194600001</v>
      </c>
      <c r="E133" s="123">
        <f t="shared" si="93"/>
        <v>8829421.1923799999</v>
      </c>
      <c r="F133" s="123">
        <f t="shared" si="93"/>
        <v>10201494.61675</v>
      </c>
      <c r="G133" s="123">
        <f t="shared" si="93"/>
        <v>5731459.8615699997</v>
      </c>
    </row>
    <row r="134" spans="1:7" x14ac:dyDescent="0.15">
      <c r="A134" s="122" t="s">
        <v>237</v>
      </c>
      <c r="B134" s="127">
        <f t="shared" ref="B134:G134" si="94">T13/1000</f>
        <v>8166973.1206099996</v>
      </c>
      <c r="C134" s="127">
        <f t="shared" si="94"/>
        <v>10230452.332190001</v>
      </c>
      <c r="D134" s="127">
        <f t="shared" si="94"/>
        <v>6961951.0296</v>
      </c>
      <c r="E134" s="127">
        <f t="shared" si="94"/>
        <v>2501091.5951199997</v>
      </c>
      <c r="F134" s="127">
        <f t="shared" si="94"/>
        <v>3047678.5568200001</v>
      </c>
      <c r="G134" s="127">
        <f t="shared" si="94"/>
        <v>-704150.40849000006</v>
      </c>
    </row>
    <row r="135" spans="1:7" x14ac:dyDescent="0.15">
      <c r="A135" s="105" t="s">
        <v>658</v>
      </c>
      <c r="B135" s="127">
        <f t="shared" ref="B135:G135" si="95">AR13/1000</f>
        <v>5870097.9490700001</v>
      </c>
      <c r="C135" s="127">
        <f t="shared" si="95"/>
        <v>9238549.7506700009</v>
      </c>
      <c r="D135" s="127">
        <f t="shared" si="95"/>
        <v>4948563.0193800004</v>
      </c>
      <c r="E135" s="127">
        <f t="shared" si="95"/>
        <v>738956.13052999997</v>
      </c>
      <c r="F135" s="127">
        <f t="shared" si="95"/>
        <v>1490142.6610699999</v>
      </c>
      <c r="G135" s="127">
        <f t="shared" si="95"/>
        <v>-1270227.3646</v>
      </c>
    </row>
    <row r="136" spans="1:7" x14ac:dyDescent="0.15">
      <c r="A136" s="122" t="s">
        <v>653</v>
      </c>
      <c r="B136" s="127">
        <f t="shared" ref="B136:G136" si="96">B13/1000</f>
        <v>13609168.393649999</v>
      </c>
      <c r="C136" s="127">
        <f t="shared" si="96"/>
        <v>12691565.74426</v>
      </c>
      <c r="D136" s="127">
        <f t="shared" si="96"/>
        <v>12653594.032440001</v>
      </c>
      <c r="E136" s="127">
        <f t="shared" si="96"/>
        <v>8159602.6157399993</v>
      </c>
      <c r="F136" s="127">
        <f t="shared" si="96"/>
        <v>7552892.0965299997</v>
      </c>
      <c r="G136" s="127">
        <f t="shared" si="96"/>
        <v>7608861.5528000006</v>
      </c>
    </row>
    <row r="137" spans="1:7" x14ac:dyDescent="0.15">
      <c r="A137" s="122"/>
    </row>
    <row r="138" spans="1:7" x14ac:dyDescent="0.15">
      <c r="A138" s="122" t="s">
        <v>654</v>
      </c>
      <c r="B138" s="125">
        <f t="shared" ref="B138:G138" si="97">H13/1000</f>
        <v>57826147.951650001</v>
      </c>
      <c r="C138" s="125">
        <f t="shared" si="97"/>
        <v>52900382.075240001</v>
      </c>
      <c r="D138" s="125">
        <f t="shared" si="97"/>
        <v>52189385.465920001</v>
      </c>
      <c r="E138" s="125">
        <f t="shared" si="97"/>
        <v>43917743.10994</v>
      </c>
      <c r="F138" s="125">
        <f t="shared" si="97"/>
        <v>42314633.093790002</v>
      </c>
      <c r="G138" s="125">
        <f t="shared" si="97"/>
        <v>42326470.265769996</v>
      </c>
    </row>
    <row r="139" spans="1:7" x14ac:dyDescent="0.15">
      <c r="A139" s="122" t="s">
        <v>656</v>
      </c>
      <c r="B139" s="123">
        <f t="shared" ref="B139:G139" si="98">AF13/1000</f>
        <v>5948521.7341299998</v>
      </c>
      <c r="C139" s="123">
        <f t="shared" si="98"/>
        <v>6586851.8200600008</v>
      </c>
      <c r="D139" s="123">
        <f t="shared" si="98"/>
        <v>6986724.39549</v>
      </c>
      <c r="E139" s="123">
        <f t="shared" si="98"/>
        <v>6461391.9129499998</v>
      </c>
      <c r="F139" s="123">
        <f t="shared" si="98"/>
        <v>6888003.9944200004</v>
      </c>
      <c r="G139" s="123">
        <f t="shared" si="98"/>
        <v>6709397.8066400001</v>
      </c>
    </row>
    <row r="140" spans="1:7" x14ac:dyDescent="0.15">
      <c r="A140" s="105" t="s">
        <v>659</v>
      </c>
      <c r="B140" s="115">
        <f t="shared" ref="B140:G140" si="99">AX13/1000</f>
        <v>9161648.4638799988</v>
      </c>
      <c r="C140" s="115">
        <f t="shared" si="99"/>
        <v>7834846.6768100001</v>
      </c>
      <c r="D140" s="115">
        <f t="shared" si="99"/>
        <v>7455905.9318999993</v>
      </c>
      <c r="E140" s="115">
        <f t="shared" si="99"/>
        <v>7644746.1312299995</v>
      </c>
      <c r="F140" s="115">
        <f t="shared" si="99"/>
        <v>8276119.1058599995</v>
      </c>
      <c r="G140" s="115">
        <f t="shared" si="99"/>
        <v>7454040.6194500001</v>
      </c>
    </row>
    <row r="141" spans="1:7" x14ac:dyDescent="0.15">
      <c r="A141" s="105" t="s">
        <v>661</v>
      </c>
      <c r="B141" s="115">
        <f t="shared" ref="B141:G141" si="100">BJ13/1000</f>
        <v>232300396.42010999</v>
      </c>
      <c r="C141" s="115">
        <f t="shared" si="100"/>
        <v>211552505.87322</v>
      </c>
      <c r="D141" s="115">
        <f t="shared" si="100"/>
        <v>192233434.58026001</v>
      </c>
      <c r="E141" s="115">
        <f t="shared" si="100"/>
        <v>178067324.22011998</v>
      </c>
      <c r="F141" s="115">
        <f t="shared" si="100"/>
        <v>168113956.4903</v>
      </c>
      <c r="G141" s="115">
        <f t="shared" si="100"/>
        <v>159653917.57686999</v>
      </c>
    </row>
    <row r="142" spans="1:7" x14ac:dyDescent="0.15">
      <c r="A142" s="105" t="s">
        <v>655</v>
      </c>
      <c r="B142" s="115">
        <f t="shared" ref="B142:G142" si="101">N13/1000</f>
        <v>62920951.467110001</v>
      </c>
      <c r="C142" s="115">
        <f t="shared" si="101"/>
        <v>61301376.287550002</v>
      </c>
      <c r="D142" s="115">
        <f t="shared" si="101"/>
        <v>56670622.178570002</v>
      </c>
      <c r="E142" s="115">
        <f t="shared" si="101"/>
        <v>52649593.337030001</v>
      </c>
      <c r="F142" s="115">
        <f t="shared" si="101"/>
        <v>48707341.177500002</v>
      </c>
      <c r="G142" s="115">
        <f t="shared" si="101"/>
        <v>47848692.484300002</v>
      </c>
    </row>
    <row r="143" spans="1:7" x14ac:dyDescent="0.15">
      <c r="A143" s="105" t="s">
        <v>657</v>
      </c>
      <c r="B143" s="115">
        <f t="shared" ref="B143:G143" si="102">AL13/1000</f>
        <v>6402216.1358199995</v>
      </c>
      <c r="C143" s="115">
        <f t="shared" si="102"/>
        <v>5730764.15044</v>
      </c>
      <c r="D143" s="115">
        <f t="shared" si="102"/>
        <v>6286113.0392700005</v>
      </c>
      <c r="E143" s="115">
        <f t="shared" si="102"/>
        <v>6871024.6097400002</v>
      </c>
      <c r="F143" s="115">
        <f t="shared" si="102"/>
        <v>5612120.1958500007</v>
      </c>
      <c r="G143" s="115">
        <f t="shared" si="102"/>
        <v>7179809.44099</v>
      </c>
    </row>
    <row r="144" spans="1:7" x14ac:dyDescent="0.15">
      <c r="A144" s="105" t="s">
        <v>662</v>
      </c>
      <c r="B144" s="115">
        <f t="shared" ref="B144:G144" si="103">BP13/1000</f>
        <v>190705884.84248999</v>
      </c>
      <c r="C144" s="115">
        <f t="shared" si="103"/>
        <v>173778648.24893001</v>
      </c>
      <c r="D144" s="115">
        <f t="shared" si="103"/>
        <v>162314165.69644001</v>
      </c>
      <c r="E144" s="115">
        <f t="shared" si="103"/>
        <v>152888167.16870001</v>
      </c>
      <c r="F144" s="115">
        <f t="shared" si="103"/>
        <v>143276665.83849999</v>
      </c>
      <c r="G144" s="115">
        <f t="shared" si="103"/>
        <v>136291363.11357999</v>
      </c>
    </row>
    <row r="146" spans="1:7" x14ac:dyDescent="0.15">
      <c r="A146" s="121" t="str">
        <f>A14</f>
        <v>ViacomCBS Inc</v>
      </c>
      <c r="C146" s="123"/>
    </row>
    <row r="147" spans="1:7" x14ac:dyDescent="0.15">
      <c r="A147" s="105" t="s">
        <v>663</v>
      </c>
      <c r="B147" s="115" t="e">
        <f t="shared" ref="B147:G147" si="104">BV14/1000</f>
        <v>#VALUE!</v>
      </c>
      <c r="C147" s="115">
        <f t="shared" si="104"/>
        <v>27812000</v>
      </c>
      <c r="D147" s="115">
        <f t="shared" si="104"/>
        <v>14514000</v>
      </c>
      <c r="E147" s="115">
        <f t="shared" si="104"/>
        <v>13692000</v>
      </c>
      <c r="F147" s="115">
        <f t="shared" si="104"/>
        <v>13166000</v>
      </c>
      <c r="G147" s="115">
        <f t="shared" si="104"/>
        <v>13886000</v>
      </c>
    </row>
    <row r="148" spans="1:7" x14ac:dyDescent="0.15">
      <c r="A148" s="105" t="s">
        <v>660</v>
      </c>
      <c r="B148" s="115" t="e">
        <f t="shared" ref="B148:G148" si="105">BD14/1000</f>
        <v>#VALUE!</v>
      </c>
      <c r="C148" s="115">
        <f t="shared" si="105"/>
        <v>3724000</v>
      </c>
      <c r="D148" s="115">
        <f t="shared" si="105"/>
        <v>2768000</v>
      </c>
      <c r="E148" s="115">
        <f t="shared" si="105"/>
        <v>2775000</v>
      </c>
      <c r="F148" s="115">
        <f t="shared" si="105"/>
        <v>2832000</v>
      </c>
      <c r="G148" s="115">
        <f t="shared" si="105"/>
        <v>2278000</v>
      </c>
    </row>
    <row r="149" spans="1:7" x14ac:dyDescent="0.15">
      <c r="A149" s="122" t="s">
        <v>251</v>
      </c>
      <c r="B149" s="115" t="e">
        <f t="shared" ref="B149:G149" si="106">Z14/1000</f>
        <v>#VALUE!</v>
      </c>
      <c r="C149" s="115">
        <f t="shared" si="106"/>
        <v>4607000</v>
      </c>
      <c r="D149" s="115">
        <f t="shared" si="106"/>
        <v>2904000</v>
      </c>
      <c r="E149" s="115">
        <f t="shared" si="106"/>
        <v>2575000</v>
      </c>
      <c r="F149" s="115">
        <f t="shared" si="106"/>
        <v>2814000</v>
      </c>
      <c r="G149" s="115">
        <f t="shared" si="106"/>
        <v>2631000</v>
      </c>
    </row>
    <row r="150" spans="1:7" x14ac:dyDescent="0.15">
      <c r="A150" s="122" t="s">
        <v>237</v>
      </c>
      <c r="B150" s="115" t="e">
        <f t="shared" ref="B150:G150" si="107">T14/1000</f>
        <v>#VALUE!</v>
      </c>
      <c r="C150" s="115">
        <f t="shared" si="107"/>
        <v>3345000</v>
      </c>
      <c r="D150" s="115">
        <f t="shared" si="107"/>
        <v>2289000</v>
      </c>
      <c r="E150" s="115">
        <f t="shared" si="107"/>
        <v>1979000</v>
      </c>
      <c r="F150" s="115">
        <f t="shared" si="107"/>
        <v>2230000</v>
      </c>
      <c r="G150" s="115">
        <f t="shared" si="107"/>
        <v>2023000</v>
      </c>
    </row>
    <row r="151" spans="1:7" x14ac:dyDescent="0.15">
      <c r="A151" s="105" t="s">
        <v>658</v>
      </c>
      <c r="B151" s="115" t="e">
        <f t="shared" ref="B151:G151" si="108">AR14/1000</f>
        <v>#VALUE!</v>
      </c>
      <c r="C151" s="115">
        <f t="shared" si="108"/>
        <v>3308000</v>
      </c>
      <c r="D151" s="115">
        <f t="shared" si="108"/>
        <v>1960000</v>
      </c>
      <c r="E151" s="115">
        <f t="shared" si="108"/>
        <v>357000</v>
      </c>
      <c r="F151" s="115">
        <f t="shared" si="108"/>
        <v>1261000</v>
      </c>
      <c r="G151" s="115">
        <f t="shared" si="108"/>
        <v>1413000</v>
      </c>
    </row>
    <row r="152" spans="1:7" x14ac:dyDescent="0.15">
      <c r="A152" s="122" t="s">
        <v>653</v>
      </c>
      <c r="B152" s="115" t="e">
        <f t="shared" ref="B152:G152" si="109">B14/1000</f>
        <v>#VALUE!</v>
      </c>
      <c r="C152" s="115">
        <f t="shared" si="109"/>
        <v>1230000</v>
      </c>
      <c r="D152" s="115">
        <f t="shared" si="109"/>
        <v>1426000</v>
      </c>
      <c r="E152" s="115">
        <f t="shared" si="109"/>
        <v>887000</v>
      </c>
      <c r="F152" s="115">
        <f t="shared" si="109"/>
        <v>1685000</v>
      </c>
      <c r="G152" s="115">
        <f t="shared" si="109"/>
        <v>1394000</v>
      </c>
    </row>
    <row r="153" spans="1:7" x14ac:dyDescent="0.15">
      <c r="A153" s="122"/>
    </row>
    <row r="154" spans="1:7" x14ac:dyDescent="0.15">
      <c r="A154" s="122" t="s">
        <v>654</v>
      </c>
      <c r="B154" s="125" t="e">
        <f t="shared" ref="B154:G154" si="110">H14/1000</f>
        <v>#VALUE!</v>
      </c>
      <c r="C154" s="125">
        <f t="shared" si="110"/>
        <v>11902000</v>
      </c>
      <c r="D154" s="125">
        <f t="shared" si="110"/>
        <v>6752000</v>
      </c>
      <c r="E154" s="125">
        <f t="shared" si="110"/>
        <v>6273000</v>
      </c>
      <c r="F154" s="125">
        <f t="shared" si="110"/>
        <v>6063000</v>
      </c>
      <c r="G154" s="125">
        <f t="shared" si="110"/>
        <v>5747000</v>
      </c>
    </row>
    <row r="155" spans="1:7" x14ac:dyDescent="0.15">
      <c r="A155" s="122" t="s">
        <v>656</v>
      </c>
      <c r="B155" s="123" t="e">
        <f t="shared" ref="B155:G155" si="111">AF14/1000</f>
        <v>#VALUE!</v>
      </c>
      <c r="C155" s="123">
        <f t="shared" si="111"/>
        <v>2876000</v>
      </c>
      <c r="D155" s="123">
        <f t="shared" si="111"/>
        <v>1988000</v>
      </c>
      <c r="E155" s="123">
        <f t="shared" si="111"/>
        <v>1828000</v>
      </c>
      <c r="F155" s="123">
        <f t="shared" si="111"/>
        <v>1427000</v>
      </c>
      <c r="G155" s="123">
        <f t="shared" si="111"/>
        <v>1271000</v>
      </c>
    </row>
    <row r="156" spans="1:7" x14ac:dyDescent="0.15">
      <c r="A156" s="105" t="s">
        <v>659</v>
      </c>
      <c r="B156" s="115" t="e">
        <f t="shared" ref="B156:G156" si="112">AX14/1000</f>
        <v>#VALUE!</v>
      </c>
      <c r="C156" s="115">
        <f t="shared" si="112"/>
        <v>2085000</v>
      </c>
      <c r="D156" s="115">
        <f t="shared" si="112"/>
        <v>1209000</v>
      </c>
      <c r="E156" s="115">
        <f t="shared" si="112"/>
        <v>1280000</v>
      </c>
      <c r="F156" s="115">
        <f t="shared" si="112"/>
        <v>1241000</v>
      </c>
      <c r="G156" s="115">
        <f t="shared" si="112"/>
        <v>1405000</v>
      </c>
    </row>
    <row r="157" spans="1:7" x14ac:dyDescent="0.15">
      <c r="A157" s="105" t="s">
        <v>661</v>
      </c>
      <c r="B157" s="115" t="e">
        <f t="shared" ref="B157:G157" si="113">BJ14/1000</f>
        <v>#VALUE!</v>
      </c>
      <c r="C157" s="115">
        <f t="shared" si="113"/>
        <v>49519000</v>
      </c>
      <c r="D157" s="115">
        <f t="shared" si="113"/>
        <v>21859000</v>
      </c>
      <c r="E157" s="115">
        <f t="shared" si="113"/>
        <v>20843000</v>
      </c>
      <c r="F157" s="115">
        <f t="shared" si="113"/>
        <v>24238000</v>
      </c>
      <c r="G157" s="115">
        <f t="shared" si="113"/>
        <v>23765000</v>
      </c>
    </row>
    <row r="158" spans="1:7" x14ac:dyDescent="0.15">
      <c r="A158" s="105" t="s">
        <v>655</v>
      </c>
      <c r="B158" s="115" t="e">
        <f t="shared" ref="B158:G158" si="114">N14/1000</f>
        <v>#VALUE!</v>
      </c>
      <c r="C158" s="115">
        <f t="shared" si="114"/>
        <v>9048000</v>
      </c>
      <c r="D158" s="115">
        <f t="shared" si="114"/>
        <v>4573000</v>
      </c>
      <c r="E158" s="115">
        <f t="shared" si="114"/>
        <v>3972000</v>
      </c>
      <c r="F158" s="115">
        <f t="shared" si="114"/>
        <v>3708000</v>
      </c>
      <c r="G158" s="115">
        <f t="shared" si="114"/>
        <v>3560000</v>
      </c>
    </row>
    <row r="159" spans="1:7" x14ac:dyDescent="0.15">
      <c r="A159" s="105" t="s">
        <v>657</v>
      </c>
      <c r="B159" s="115" t="e">
        <f t="shared" ref="B159:G159" si="115">AL14/1000</f>
        <v>#VALUE!</v>
      </c>
      <c r="C159" s="115">
        <f t="shared" si="115"/>
        <v>18002000</v>
      </c>
      <c r="D159" s="115">
        <f t="shared" si="115"/>
        <v>9465000</v>
      </c>
      <c r="E159" s="115">
        <f t="shared" si="115"/>
        <v>9464000</v>
      </c>
      <c r="F159" s="115">
        <f t="shared" si="115"/>
        <v>8902000</v>
      </c>
      <c r="G159" s="115">
        <f t="shared" si="115"/>
        <v>8226000</v>
      </c>
    </row>
    <row r="160" spans="1:7" x14ac:dyDescent="0.15">
      <c r="A160" s="105" t="s">
        <v>662</v>
      </c>
      <c r="B160" s="115" t="e">
        <f t="shared" ref="B160:G160" si="116">BP14/1000</f>
        <v>#VALUE!</v>
      </c>
      <c r="C160" s="115">
        <f t="shared" si="116"/>
        <v>36312000</v>
      </c>
      <c r="D160" s="115">
        <f t="shared" si="116"/>
        <v>19055000</v>
      </c>
      <c r="E160" s="115">
        <f t="shared" si="116"/>
        <v>18865000</v>
      </c>
      <c r="F160" s="115">
        <f t="shared" si="116"/>
        <v>20549000</v>
      </c>
      <c r="G160" s="115">
        <f t="shared" si="116"/>
        <v>18202000</v>
      </c>
    </row>
    <row r="162" spans="1:3" ht="14" thickBot="1" x14ac:dyDescent="0.2"/>
    <row r="163" spans="1:3" ht="14" thickBot="1" x14ac:dyDescent="0.2">
      <c r="B163" s="226" t="s">
        <v>916</v>
      </c>
      <c r="C163" s="227">
        <f>'Inc Statement'!D16/(Competitors!C19+Competitors!C35+Competitors!C51+Competitors!C67+Competitors!C83+Competitors!C99+Competitors!C115+Competitors!C131+Competitors!C147)</f>
        <v>1.1065087205853119E-2</v>
      </c>
    </row>
    <row r="165" spans="1:3" x14ac:dyDescent="0.15">
      <c r="A165" s="121" t="s">
        <v>943</v>
      </c>
      <c r="B165" s="121">
        <v>2019</v>
      </c>
    </row>
    <row r="166" spans="1:3" x14ac:dyDescent="0.15">
      <c r="A166" s="105" t="s">
        <v>935</v>
      </c>
      <c r="B166" s="115">
        <v>1543348</v>
      </c>
    </row>
    <row r="167" spans="1:3" x14ac:dyDescent="0.15">
      <c r="A167" s="105" t="s">
        <v>932</v>
      </c>
      <c r="B167" s="115">
        <v>459417</v>
      </c>
    </row>
    <row r="168" spans="1:3" x14ac:dyDescent="0.15">
      <c r="A168" s="105" t="s">
        <v>946</v>
      </c>
      <c r="B168" s="115">
        <f>85088+6975</f>
        <v>92063</v>
      </c>
    </row>
    <row r="170" spans="1:3" x14ac:dyDescent="0.15">
      <c r="A170" s="105" t="s">
        <v>934</v>
      </c>
      <c r="B170" s="115">
        <v>1863882</v>
      </c>
    </row>
    <row r="171" spans="1:3" x14ac:dyDescent="0.15">
      <c r="A171" s="105" t="s">
        <v>912</v>
      </c>
      <c r="B171" s="115">
        <v>147001</v>
      </c>
    </row>
    <row r="172" spans="1:3" x14ac:dyDescent="0.15">
      <c r="A172" s="105" t="s">
        <v>661</v>
      </c>
      <c r="B172" s="115">
        <v>4059139</v>
      </c>
    </row>
    <row r="173" spans="1:3" x14ac:dyDescent="0.15">
      <c r="A173" s="105" t="s">
        <v>662</v>
      </c>
      <c r="B173" s="115">
        <v>2827952</v>
      </c>
    </row>
    <row r="174" spans="1:3" x14ac:dyDescent="0.15">
      <c r="A174" s="105" t="s">
        <v>950</v>
      </c>
      <c r="B174" s="123">
        <f>B172-B173</f>
        <v>1231187</v>
      </c>
    </row>
    <row r="175" spans="1:3" x14ac:dyDescent="0.15">
      <c r="A175" s="105" t="s">
        <v>947</v>
      </c>
      <c r="B175" s="115">
        <f>1822648+4000</f>
        <v>1826648</v>
      </c>
    </row>
    <row r="176" spans="1:3" x14ac:dyDescent="0.15">
      <c r="A176" s="105" t="s">
        <v>238</v>
      </c>
      <c r="B176" s="123">
        <f>-543343+B168</f>
        <v>-451280</v>
      </c>
    </row>
    <row r="178" spans="1:2" x14ac:dyDescent="0.15">
      <c r="A178" s="105" t="s">
        <v>933</v>
      </c>
      <c r="B178" s="108">
        <f>B167/B171</f>
        <v>3.1252644539833061</v>
      </c>
    </row>
    <row r="179" spans="1:2" x14ac:dyDescent="0.15">
      <c r="A179" s="105" t="s">
        <v>936</v>
      </c>
      <c r="B179" s="256">
        <f>B166/B170</f>
        <v>0.82802881298279607</v>
      </c>
    </row>
    <row r="180" spans="1:2" x14ac:dyDescent="0.15">
      <c r="A180" s="105" t="s">
        <v>944</v>
      </c>
      <c r="B180" s="108">
        <f>B166/B172</f>
        <v>0.38021560729997173</v>
      </c>
    </row>
    <row r="181" spans="1:2" x14ac:dyDescent="0.15">
      <c r="A181" s="105" t="s">
        <v>945</v>
      </c>
      <c r="B181" s="117">
        <f>B173/B172</f>
        <v>0.69668764730648547</v>
      </c>
    </row>
    <row r="182" spans="1:2" x14ac:dyDescent="0.15">
      <c r="A182" s="105" t="s">
        <v>949</v>
      </c>
      <c r="B182" s="117">
        <f>B175/B172</f>
        <v>0.4500087333791723</v>
      </c>
    </row>
    <row r="183" spans="1:2" x14ac:dyDescent="0.15">
      <c r="A183" s="105" t="s">
        <v>948</v>
      </c>
      <c r="B183" s="117">
        <f>B168/B175</f>
        <v>5.0399967590909686E-2</v>
      </c>
    </row>
    <row r="184" spans="1:2" x14ac:dyDescent="0.15">
      <c r="A184" s="105" t="s">
        <v>951</v>
      </c>
      <c r="B184" s="117">
        <f>B173/B174</f>
        <v>2.2969313353698504</v>
      </c>
    </row>
    <row r="185" spans="1:2" x14ac:dyDescent="0.15">
      <c r="A185" s="105" t="s">
        <v>952</v>
      </c>
      <c r="B185" s="108">
        <f>B176/B168</f>
        <v>-4.9018606823588193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A49F4-A5DC-4A35-80F1-B875C6C6128C}">
  <dimension ref="A1:CY53"/>
  <sheetViews>
    <sheetView topLeftCell="BA1" workbookViewId="0">
      <selection activeCell="BW7" sqref="BW7"/>
    </sheetView>
  </sheetViews>
  <sheetFormatPr baseColWidth="10" defaultColWidth="8.83203125" defaultRowHeight="13" x14ac:dyDescent="0.15"/>
  <cols>
    <col min="1" max="1" width="30" style="105" customWidth="1"/>
    <col min="2" max="91" width="9" style="105" bestFit="1" customWidth="1"/>
    <col min="92" max="97" width="9.5" style="105" bestFit="1" customWidth="1"/>
    <col min="98" max="103" width="9" style="105" bestFit="1" customWidth="1"/>
    <col min="104" max="16384" width="8.83203125" style="105"/>
  </cols>
  <sheetData>
    <row r="1" spans="1:103" ht="20" x14ac:dyDescent="0.2">
      <c r="A1" s="113"/>
    </row>
    <row r="3" spans="1:103" ht="28" x14ac:dyDescent="0.15">
      <c r="A3" s="112" t="s">
        <v>572</v>
      </c>
    </row>
    <row r="4" spans="1:103" x14ac:dyDescent="0.15">
      <c r="B4" s="108">
        <f t="shared" ref="B4:S4" si="0">AVERAGE(B7:B53)</f>
        <v>34.839999999999996</v>
      </c>
      <c r="C4" s="108">
        <f t="shared" si="0"/>
        <v>255.4193939393939</v>
      </c>
      <c r="D4" s="108">
        <f t="shared" si="0"/>
        <v>15.644705882352943</v>
      </c>
      <c r="E4" s="108">
        <f t="shared" si="0"/>
        <v>5.52628571428572</v>
      </c>
      <c r="F4" s="108">
        <f t="shared" si="0"/>
        <v>32.790285714285709</v>
      </c>
      <c r="G4" s="108">
        <f t="shared" si="0"/>
        <v>54.947741935483869</v>
      </c>
      <c r="H4" s="108">
        <f t="shared" si="0"/>
        <v>2.0941176470588241</v>
      </c>
      <c r="I4" s="108">
        <f t="shared" si="0"/>
        <v>1.9020512820512823</v>
      </c>
      <c r="J4" s="108">
        <f t="shared" si="0"/>
        <v>2.0335897435897432</v>
      </c>
      <c r="K4" s="108">
        <f t="shared" si="0"/>
        <v>2.1109999999999998</v>
      </c>
      <c r="L4" s="108">
        <f t="shared" si="0"/>
        <v>1.9346153846153844</v>
      </c>
      <c r="M4" s="108">
        <f t="shared" si="0"/>
        <v>1.8894736842105262</v>
      </c>
      <c r="N4" s="108">
        <f t="shared" si="0"/>
        <v>0.56882352941176428</v>
      </c>
      <c r="O4" s="108">
        <f t="shared" si="0"/>
        <v>4.6933333333333334</v>
      </c>
      <c r="P4" s="108">
        <f t="shared" si="0"/>
        <v>6.8230769230769255</v>
      </c>
      <c r="Q4" s="108">
        <f t="shared" si="0"/>
        <v>7.8147499999999992</v>
      </c>
      <c r="R4" s="108">
        <f t="shared" si="0"/>
        <v>8.0947500000000012</v>
      </c>
      <c r="S4" s="108">
        <f t="shared" si="0"/>
        <v>6.5328947368421053</v>
      </c>
      <c r="T4" s="117">
        <f t="shared" ref="T4:AE4" si="1">AVERAGE(T7:T53)%</f>
        <v>8.7082352941176458E-2</v>
      </c>
      <c r="U4" s="117">
        <f t="shared" si="1"/>
        <v>0.15120769230769232</v>
      </c>
      <c r="V4" s="117">
        <f t="shared" si="1"/>
        <v>0.1689128205128205</v>
      </c>
      <c r="W4" s="117">
        <f t="shared" si="1"/>
        <v>0.17878999999999995</v>
      </c>
      <c r="X4" s="117">
        <f t="shared" si="1"/>
        <v>0.16677500000000001</v>
      </c>
      <c r="Y4" s="117">
        <f t="shared" si="1"/>
        <v>0.15312631578947372</v>
      </c>
      <c r="Z4" s="117">
        <f t="shared" si="1"/>
        <v>0.35852941176470582</v>
      </c>
      <c r="AA4" s="117">
        <f t="shared" si="1"/>
        <v>0.44926842105263154</v>
      </c>
      <c r="AB4" s="117">
        <f t="shared" si="1"/>
        <v>0.45627368421052644</v>
      </c>
      <c r="AC4" s="117">
        <f t="shared" si="1"/>
        <v>0.4540820512820512</v>
      </c>
      <c r="AD4" s="117">
        <f t="shared" si="1"/>
        <v>0.45683000000000001</v>
      </c>
      <c r="AE4" s="117">
        <f t="shared" si="1"/>
        <v>0.46651052631578943</v>
      </c>
      <c r="AF4" s="108">
        <f t="shared" ref="AF4:AW4" si="2">AVERAGE(AF7:AF53)</f>
        <v>1118.6366666666665</v>
      </c>
      <c r="AG4" s="108">
        <f t="shared" si="2"/>
        <v>7.7459090909090911</v>
      </c>
      <c r="AH4" s="108">
        <f t="shared" si="2"/>
        <v>10.842727272727274</v>
      </c>
      <c r="AI4" s="108">
        <f t="shared" si="2"/>
        <v>12.389999999999999</v>
      </c>
      <c r="AJ4" s="108">
        <f t="shared" si="2"/>
        <v>12.639615384615386</v>
      </c>
      <c r="AK4" s="108">
        <f t="shared" si="2"/>
        <v>9.9362500000000011</v>
      </c>
      <c r="AL4" s="108">
        <f t="shared" si="2"/>
        <v>24.742499999999996</v>
      </c>
      <c r="AM4" s="108">
        <f t="shared" si="2"/>
        <v>19.429583333333333</v>
      </c>
      <c r="AN4" s="108">
        <f t="shared" si="2"/>
        <v>16.343043478260871</v>
      </c>
      <c r="AO4" s="108">
        <f t="shared" si="2"/>
        <v>17.411739130434785</v>
      </c>
      <c r="AP4" s="108">
        <f t="shared" si="2"/>
        <v>24.397272727272721</v>
      </c>
      <c r="AQ4" s="108">
        <f t="shared" si="2"/>
        <v>24.889545454545463</v>
      </c>
      <c r="AR4" s="108">
        <f t="shared" si="2"/>
        <v>23.252352941176468</v>
      </c>
      <c r="AS4" s="108">
        <f t="shared" si="2"/>
        <v>15.894102564102564</v>
      </c>
      <c r="AT4" s="108">
        <f t="shared" si="2"/>
        <v>15.486153846153844</v>
      </c>
      <c r="AU4" s="108">
        <f t="shared" si="2"/>
        <v>13.820263157894736</v>
      </c>
      <c r="AV4" s="108">
        <f t="shared" si="2"/>
        <v>15.05432432432433</v>
      </c>
      <c r="AW4" s="108">
        <f t="shared" si="2"/>
        <v>14.490555555555552</v>
      </c>
      <c r="AX4" s="117">
        <f t="shared" ref="AX4:BI4" si="3">AVERAGE(AX7:AX53)%</f>
        <v>4.1364705882352942E-2</v>
      </c>
      <c r="AY4" s="117">
        <f t="shared" si="3"/>
        <v>5.3182051282051272E-2</v>
      </c>
      <c r="AZ4" s="117">
        <f t="shared" si="3"/>
        <v>7.5102564102564107E-2</v>
      </c>
      <c r="BA4" s="117">
        <f t="shared" si="3"/>
        <v>0.10917500000000001</v>
      </c>
      <c r="BB4" s="117">
        <f t="shared" si="3"/>
        <v>7.1500000000000008E-2</v>
      </c>
      <c r="BC4" s="117">
        <f t="shared" si="3"/>
        <v>5.6000000000000008E-2</v>
      </c>
      <c r="BD4" s="117">
        <f t="shared" si="3"/>
        <v>1.8788235294117647E-2</v>
      </c>
      <c r="BE4" s="117">
        <f t="shared" si="3"/>
        <v>8.3266666666666656E-2</v>
      </c>
      <c r="BF4" s="117">
        <f t="shared" si="3"/>
        <v>0.10515897435897434</v>
      </c>
      <c r="BG4" s="117">
        <f t="shared" si="3"/>
        <v>0.1077375</v>
      </c>
      <c r="BH4" s="117">
        <f t="shared" si="3"/>
        <v>0.11708000000000002</v>
      </c>
      <c r="BI4" s="117">
        <f t="shared" si="3"/>
        <v>0.10187631578947372</v>
      </c>
      <c r="BJ4" s="108">
        <f t="shared" ref="BJ4:BO4" si="4">AVERAGE(BJ7:BJ53)</f>
        <v>1.6923529411764704</v>
      </c>
      <c r="BK4" s="108">
        <f t="shared" si="4"/>
        <v>1.5082051282051283</v>
      </c>
      <c r="BL4" s="108">
        <f t="shared" si="4"/>
        <v>1.6405128205128208</v>
      </c>
      <c r="BM4" s="108">
        <f t="shared" si="4"/>
        <v>1.5812499999999998</v>
      </c>
      <c r="BN4" s="108">
        <f t="shared" si="4"/>
        <v>1.518974358974359</v>
      </c>
      <c r="BO4" s="108">
        <f t="shared" si="4"/>
        <v>1.4307894736842104</v>
      </c>
      <c r="BP4" s="117">
        <f t="shared" ref="BP4:BV4" si="5">AVERAGE(BP7:BP53)%</f>
        <v>2.7547058823529411E-2</v>
      </c>
      <c r="BQ4" s="117">
        <f t="shared" si="5"/>
        <v>3.0620512820512813E-2</v>
      </c>
      <c r="BR4" s="117">
        <f t="shared" si="5"/>
        <v>4.1817948717948722E-2</v>
      </c>
      <c r="BS4" s="117">
        <f t="shared" si="5"/>
        <v>5.0031578947368448E-2</v>
      </c>
      <c r="BT4" s="117">
        <f t="shared" si="5"/>
        <v>3.369459459459459E-2</v>
      </c>
      <c r="BU4" s="117">
        <f t="shared" si="5"/>
        <v>3.8191666666666658E-2</v>
      </c>
      <c r="BV4" s="117">
        <f t="shared" si="5"/>
        <v>3.8711764705882355E-2</v>
      </c>
      <c r="BW4" s="117">
        <f>AVERAGE(BW7:BW53)%</f>
        <v>7.4102777777777795E-2</v>
      </c>
      <c r="BX4" s="117">
        <f>AVERAGE(BX7:BX53)%</f>
        <v>0.11221111111111112</v>
      </c>
      <c r="BY4" s="117">
        <f>AVERAGE(BY7:BY53)%</f>
        <v>0.12018285714285719</v>
      </c>
      <c r="BZ4" s="117">
        <f>AVERAGE(BZ7:BZ53)%</f>
        <v>9.6238235294117652E-2</v>
      </c>
      <c r="CA4" s="117">
        <f>AVERAGE(CA7:CA53)%</f>
        <v>0.13126470588235292</v>
      </c>
      <c r="CB4" s="108">
        <f t="shared" ref="CB4:CY4" si="6">AVERAGE(CB7:CB53)</f>
        <v>1.2176470588235293</v>
      </c>
      <c r="CC4" s="108">
        <f t="shared" si="6"/>
        <v>5.7938461538461539</v>
      </c>
      <c r="CD4" s="108">
        <f t="shared" si="6"/>
        <v>7.3910256410256396</v>
      </c>
      <c r="CE4" s="108">
        <f t="shared" si="6"/>
        <v>7.3473684210526296</v>
      </c>
      <c r="CF4" s="108">
        <f t="shared" si="6"/>
        <v>6.3140540540540551</v>
      </c>
      <c r="CG4" s="108">
        <f t="shared" si="6"/>
        <v>7.4755555555555571</v>
      </c>
      <c r="CH4" s="108">
        <f t="shared" si="6"/>
        <v>0.84176470588235308</v>
      </c>
      <c r="CI4" s="108">
        <f t="shared" si="6"/>
        <v>0.64794871794871789</v>
      </c>
      <c r="CJ4" s="108">
        <f t="shared" si="6"/>
        <v>0.6661538461538461</v>
      </c>
      <c r="CK4" s="108">
        <f t="shared" si="6"/>
        <v>0.67815789473684207</v>
      </c>
      <c r="CL4" s="108">
        <f t="shared" si="6"/>
        <v>0.68243243243243268</v>
      </c>
      <c r="CM4" s="108">
        <f t="shared" si="6"/>
        <v>0.65194444444444433</v>
      </c>
      <c r="CN4" s="108">
        <f t="shared" si="6"/>
        <v>681628.10176470585</v>
      </c>
      <c r="CO4" s="108">
        <f t="shared" si="6"/>
        <v>611650.8183783784</v>
      </c>
      <c r="CP4" s="108">
        <f t="shared" si="6"/>
        <v>591913.92675675673</v>
      </c>
      <c r="CQ4" s="108">
        <f t="shared" si="6"/>
        <v>560829.39638888894</v>
      </c>
      <c r="CR4" s="108">
        <f t="shared" si="6"/>
        <v>563306.58055555564</v>
      </c>
      <c r="CS4" s="108">
        <f t="shared" si="6"/>
        <v>506482.11249999999</v>
      </c>
      <c r="CT4" s="108">
        <f t="shared" si="6"/>
        <v>0.76866666666666672</v>
      </c>
      <c r="CU4" s="108">
        <f t="shared" si="6"/>
        <v>1.1580000000000001</v>
      </c>
      <c r="CV4" s="108">
        <f t="shared" si="6"/>
        <v>1.1445454545454543</v>
      </c>
      <c r="CW4" s="108">
        <f t="shared" si="6"/>
        <v>1.5423529411764707</v>
      </c>
      <c r="CX4" s="108">
        <f t="shared" si="6"/>
        <v>1.2261764705882352</v>
      </c>
      <c r="CY4" s="108">
        <f t="shared" si="6"/>
        <v>1.3339393939393938</v>
      </c>
    </row>
    <row r="5" spans="1:103" ht="70" x14ac:dyDescent="0.15">
      <c r="A5" s="111" t="s">
        <v>571</v>
      </c>
      <c r="B5" s="110" t="s">
        <v>570</v>
      </c>
      <c r="C5" s="110" t="s">
        <v>569</v>
      </c>
      <c r="D5" s="110" t="s">
        <v>568</v>
      </c>
      <c r="E5" s="110" t="s">
        <v>567</v>
      </c>
      <c r="F5" s="110" t="s">
        <v>566</v>
      </c>
      <c r="G5" s="110" t="s">
        <v>565</v>
      </c>
      <c r="H5" s="110" t="s">
        <v>564</v>
      </c>
      <c r="I5" s="110" t="s">
        <v>563</v>
      </c>
      <c r="J5" s="110" t="s">
        <v>562</v>
      </c>
      <c r="K5" s="110" t="s">
        <v>561</v>
      </c>
      <c r="L5" s="110" t="s">
        <v>560</v>
      </c>
      <c r="M5" s="110" t="s">
        <v>559</v>
      </c>
      <c r="N5" s="110" t="s">
        <v>558</v>
      </c>
      <c r="O5" s="110" t="s">
        <v>557</v>
      </c>
      <c r="P5" s="110" t="s">
        <v>556</v>
      </c>
      <c r="Q5" s="110" t="s">
        <v>555</v>
      </c>
      <c r="R5" s="110" t="s">
        <v>554</v>
      </c>
      <c r="S5" s="110" t="s">
        <v>553</v>
      </c>
      <c r="T5" s="110" t="s">
        <v>552</v>
      </c>
      <c r="U5" s="110" t="s">
        <v>551</v>
      </c>
      <c r="V5" s="110" t="s">
        <v>550</v>
      </c>
      <c r="W5" s="110" t="s">
        <v>549</v>
      </c>
      <c r="X5" s="110" t="s">
        <v>548</v>
      </c>
      <c r="Y5" s="110" t="s">
        <v>547</v>
      </c>
      <c r="Z5" s="110" t="s">
        <v>546</v>
      </c>
      <c r="AA5" s="110" t="s">
        <v>545</v>
      </c>
      <c r="AB5" s="110" t="s">
        <v>544</v>
      </c>
      <c r="AC5" s="110" t="s">
        <v>543</v>
      </c>
      <c r="AD5" s="110" t="s">
        <v>542</v>
      </c>
      <c r="AE5" s="110" t="s">
        <v>541</v>
      </c>
      <c r="AF5" s="110" t="s">
        <v>540</v>
      </c>
      <c r="AG5" s="110" t="s">
        <v>539</v>
      </c>
      <c r="AH5" s="110" t="s">
        <v>538</v>
      </c>
      <c r="AI5" s="110" t="s">
        <v>537</v>
      </c>
      <c r="AJ5" s="110" t="s">
        <v>536</v>
      </c>
      <c r="AK5" s="110" t="s">
        <v>535</v>
      </c>
      <c r="AL5" s="110" t="s">
        <v>534</v>
      </c>
      <c r="AM5" s="110" t="s">
        <v>533</v>
      </c>
      <c r="AN5" s="110" t="s">
        <v>532</v>
      </c>
      <c r="AO5" s="110" t="s">
        <v>531</v>
      </c>
      <c r="AP5" s="110" t="s">
        <v>530</v>
      </c>
      <c r="AQ5" s="110" t="s">
        <v>529</v>
      </c>
      <c r="AR5" s="110" t="s">
        <v>528</v>
      </c>
      <c r="AS5" s="110" t="s">
        <v>527</v>
      </c>
      <c r="AT5" s="110" t="s">
        <v>526</v>
      </c>
      <c r="AU5" s="110" t="s">
        <v>525</v>
      </c>
      <c r="AV5" s="110" t="s">
        <v>524</v>
      </c>
      <c r="AW5" s="110" t="s">
        <v>523</v>
      </c>
      <c r="AX5" s="110" t="s">
        <v>522</v>
      </c>
      <c r="AY5" s="110" t="s">
        <v>521</v>
      </c>
      <c r="AZ5" s="110" t="s">
        <v>520</v>
      </c>
      <c r="BA5" s="110" t="s">
        <v>519</v>
      </c>
      <c r="BB5" s="110" t="s">
        <v>518</v>
      </c>
      <c r="BC5" s="110" t="s">
        <v>517</v>
      </c>
      <c r="BD5" s="110" t="s">
        <v>516</v>
      </c>
      <c r="BE5" s="110" t="s">
        <v>515</v>
      </c>
      <c r="BF5" s="110" t="s">
        <v>514</v>
      </c>
      <c r="BG5" s="110" t="s">
        <v>513</v>
      </c>
      <c r="BH5" s="110" t="s">
        <v>512</v>
      </c>
      <c r="BI5" s="110" t="s">
        <v>511</v>
      </c>
      <c r="BJ5" s="110" t="s">
        <v>510</v>
      </c>
      <c r="BK5" s="110" t="s">
        <v>509</v>
      </c>
      <c r="BL5" s="110" t="s">
        <v>508</v>
      </c>
      <c r="BM5" s="110" t="s">
        <v>507</v>
      </c>
      <c r="BN5" s="110" t="s">
        <v>506</v>
      </c>
      <c r="BO5" s="110" t="s">
        <v>505</v>
      </c>
      <c r="BP5" s="110" t="s">
        <v>504</v>
      </c>
      <c r="BQ5" s="110" t="s">
        <v>503</v>
      </c>
      <c r="BR5" s="110" t="s">
        <v>502</v>
      </c>
      <c r="BS5" s="110" t="s">
        <v>501</v>
      </c>
      <c r="BT5" s="110" t="s">
        <v>500</v>
      </c>
      <c r="BU5" s="110" t="s">
        <v>499</v>
      </c>
      <c r="BV5" s="110" t="s">
        <v>498</v>
      </c>
      <c r="BW5" s="110" t="s">
        <v>497</v>
      </c>
      <c r="BX5" s="110" t="s">
        <v>496</v>
      </c>
      <c r="BY5" s="110" t="s">
        <v>495</v>
      </c>
      <c r="BZ5" s="110" t="s">
        <v>494</v>
      </c>
      <c r="CA5" s="110" t="s">
        <v>493</v>
      </c>
      <c r="CB5" s="110" t="s">
        <v>492</v>
      </c>
      <c r="CC5" s="110" t="s">
        <v>491</v>
      </c>
      <c r="CD5" s="110" t="s">
        <v>490</v>
      </c>
      <c r="CE5" s="110" t="s">
        <v>489</v>
      </c>
      <c r="CF5" s="110" t="s">
        <v>488</v>
      </c>
      <c r="CG5" s="110" t="s">
        <v>487</v>
      </c>
      <c r="CH5" s="110" t="s">
        <v>486</v>
      </c>
      <c r="CI5" s="110" t="s">
        <v>485</v>
      </c>
      <c r="CJ5" s="110" t="s">
        <v>484</v>
      </c>
      <c r="CK5" s="110" t="s">
        <v>483</v>
      </c>
      <c r="CL5" s="110" t="s">
        <v>482</v>
      </c>
      <c r="CM5" s="110" t="s">
        <v>481</v>
      </c>
      <c r="CN5" s="110" t="s">
        <v>480</v>
      </c>
      <c r="CO5" s="110" t="s">
        <v>479</v>
      </c>
      <c r="CP5" s="110" t="s">
        <v>478</v>
      </c>
      <c r="CQ5" s="110" t="s">
        <v>477</v>
      </c>
      <c r="CR5" s="110" t="s">
        <v>476</v>
      </c>
      <c r="CS5" s="110" t="s">
        <v>475</v>
      </c>
      <c r="CT5" s="110" t="s">
        <v>474</v>
      </c>
      <c r="CU5" s="110" t="s">
        <v>473</v>
      </c>
      <c r="CV5" s="110" t="s">
        <v>472</v>
      </c>
      <c r="CW5" s="110" t="s">
        <v>471</v>
      </c>
      <c r="CX5" s="110" t="s">
        <v>470</v>
      </c>
      <c r="CY5" s="110" t="s">
        <v>469</v>
      </c>
    </row>
    <row r="6" spans="1:103" ht="42" x14ac:dyDescent="0.15">
      <c r="B6" s="110" t="s">
        <v>468</v>
      </c>
      <c r="C6" s="110" t="s">
        <v>467</v>
      </c>
      <c r="D6" s="110" t="s">
        <v>466</v>
      </c>
      <c r="E6" s="110" t="s">
        <v>465</v>
      </c>
      <c r="F6" s="110" t="s">
        <v>464</v>
      </c>
      <c r="G6" s="110" t="s">
        <v>463</v>
      </c>
      <c r="H6" s="110" t="s">
        <v>462</v>
      </c>
      <c r="I6" s="110" t="s">
        <v>461</v>
      </c>
      <c r="J6" s="110" t="s">
        <v>460</v>
      </c>
      <c r="K6" s="110" t="s">
        <v>459</v>
      </c>
      <c r="L6" s="110" t="s">
        <v>458</v>
      </c>
      <c r="M6" s="110" t="s">
        <v>457</v>
      </c>
      <c r="N6" s="110" t="s">
        <v>456</v>
      </c>
      <c r="O6" s="110" t="s">
        <v>455</v>
      </c>
      <c r="P6" s="110" t="s">
        <v>454</v>
      </c>
      <c r="Q6" s="110" t="s">
        <v>453</v>
      </c>
      <c r="R6" s="110" t="s">
        <v>452</v>
      </c>
      <c r="S6" s="110" t="s">
        <v>451</v>
      </c>
      <c r="T6" s="110" t="s">
        <v>450</v>
      </c>
      <c r="U6" s="110" t="s">
        <v>449</v>
      </c>
      <c r="V6" s="110" t="s">
        <v>448</v>
      </c>
      <c r="W6" s="110" t="s">
        <v>447</v>
      </c>
      <c r="X6" s="110" t="s">
        <v>446</v>
      </c>
      <c r="Y6" s="110" t="s">
        <v>445</v>
      </c>
      <c r="Z6" s="110" t="s">
        <v>444</v>
      </c>
      <c r="AA6" s="110" t="s">
        <v>443</v>
      </c>
      <c r="AB6" s="110" t="s">
        <v>442</v>
      </c>
      <c r="AC6" s="110" t="s">
        <v>441</v>
      </c>
      <c r="AD6" s="110" t="s">
        <v>440</v>
      </c>
      <c r="AE6" s="110" t="s">
        <v>439</v>
      </c>
      <c r="AF6" s="110" t="s">
        <v>438</v>
      </c>
      <c r="AG6" s="110" t="s">
        <v>437</v>
      </c>
      <c r="AH6" s="110" t="s">
        <v>436</v>
      </c>
      <c r="AI6" s="110" t="s">
        <v>435</v>
      </c>
      <c r="AJ6" s="110" t="s">
        <v>434</v>
      </c>
      <c r="AK6" s="110" t="s">
        <v>433</v>
      </c>
      <c r="AL6" s="110" t="s">
        <v>432</v>
      </c>
      <c r="AM6" s="110" t="s">
        <v>431</v>
      </c>
      <c r="AN6" s="110" t="s">
        <v>430</v>
      </c>
      <c r="AO6" s="110" t="s">
        <v>429</v>
      </c>
      <c r="AP6" s="110" t="s">
        <v>428</v>
      </c>
      <c r="AQ6" s="110" t="s">
        <v>427</v>
      </c>
      <c r="AR6" s="110" t="s">
        <v>426</v>
      </c>
      <c r="AS6" s="110" t="s">
        <v>425</v>
      </c>
      <c r="AT6" s="110" t="s">
        <v>424</v>
      </c>
      <c r="AU6" s="110" t="s">
        <v>423</v>
      </c>
      <c r="AV6" s="110" t="s">
        <v>422</v>
      </c>
      <c r="AW6" s="110" t="s">
        <v>421</v>
      </c>
      <c r="AX6" s="110" t="s">
        <v>420</v>
      </c>
      <c r="AY6" s="110" t="s">
        <v>419</v>
      </c>
      <c r="AZ6" s="110" t="s">
        <v>418</v>
      </c>
      <c r="BA6" s="110" t="s">
        <v>417</v>
      </c>
      <c r="BB6" s="110" t="s">
        <v>416</v>
      </c>
      <c r="BC6" s="110" t="s">
        <v>415</v>
      </c>
      <c r="BD6" s="110" t="s">
        <v>414</v>
      </c>
      <c r="BE6" s="110" t="s">
        <v>413</v>
      </c>
      <c r="BF6" s="110" t="s">
        <v>412</v>
      </c>
      <c r="BG6" s="110" t="s">
        <v>411</v>
      </c>
      <c r="BH6" s="110" t="s">
        <v>410</v>
      </c>
      <c r="BI6" s="110" t="s">
        <v>409</v>
      </c>
      <c r="BJ6" s="110" t="s">
        <v>408</v>
      </c>
      <c r="BK6" s="110" t="s">
        <v>407</v>
      </c>
      <c r="BL6" s="110" t="s">
        <v>406</v>
      </c>
      <c r="BM6" s="110" t="s">
        <v>405</v>
      </c>
      <c r="BN6" s="110" t="s">
        <v>404</v>
      </c>
      <c r="BO6" s="110" t="s">
        <v>403</v>
      </c>
      <c r="BP6" s="110" t="s">
        <v>402</v>
      </c>
      <c r="BQ6" s="110" t="s">
        <v>401</v>
      </c>
      <c r="BR6" s="110" t="s">
        <v>400</v>
      </c>
      <c r="BS6" s="110" t="s">
        <v>399</v>
      </c>
      <c r="BT6" s="110" t="s">
        <v>398</v>
      </c>
      <c r="BU6" s="110" t="s">
        <v>397</v>
      </c>
      <c r="BV6" s="110" t="s">
        <v>396</v>
      </c>
      <c r="BW6" s="110" t="s">
        <v>395</v>
      </c>
      <c r="BX6" s="110" t="s">
        <v>394</v>
      </c>
      <c r="BY6" s="110" t="s">
        <v>393</v>
      </c>
      <c r="BZ6" s="110" t="s">
        <v>392</v>
      </c>
      <c r="CA6" s="110" t="s">
        <v>391</v>
      </c>
      <c r="CB6" s="110" t="s">
        <v>390</v>
      </c>
      <c r="CC6" s="110" t="s">
        <v>389</v>
      </c>
      <c r="CD6" s="110" t="s">
        <v>388</v>
      </c>
      <c r="CE6" s="110" t="s">
        <v>387</v>
      </c>
      <c r="CF6" s="110" t="s">
        <v>386</v>
      </c>
      <c r="CG6" s="110" t="s">
        <v>385</v>
      </c>
      <c r="CH6" s="110" t="s">
        <v>384</v>
      </c>
      <c r="CI6" s="110" t="s">
        <v>381</v>
      </c>
      <c r="CJ6" s="110" t="s">
        <v>383</v>
      </c>
      <c r="CK6" s="110" t="s">
        <v>382</v>
      </c>
      <c r="CL6" s="110" t="s">
        <v>382</v>
      </c>
      <c r="CM6" s="110" t="s">
        <v>381</v>
      </c>
      <c r="CN6" s="110" t="s">
        <v>380</v>
      </c>
      <c r="CO6" s="110" t="s">
        <v>379</v>
      </c>
      <c r="CP6" s="110" t="s">
        <v>378</v>
      </c>
      <c r="CQ6" s="110" t="s">
        <v>377</v>
      </c>
      <c r="CR6" s="110" t="s">
        <v>376</v>
      </c>
      <c r="CS6" s="110" t="s">
        <v>375</v>
      </c>
      <c r="CT6" s="110" t="s">
        <v>374</v>
      </c>
      <c r="CU6" s="110" t="s">
        <v>373</v>
      </c>
      <c r="CV6" s="110" t="s">
        <v>372</v>
      </c>
      <c r="CW6" s="110" t="s">
        <v>371</v>
      </c>
      <c r="CX6" s="110" t="s">
        <v>370</v>
      </c>
      <c r="CY6" s="110" t="s">
        <v>369</v>
      </c>
    </row>
    <row r="7" spans="1:103" x14ac:dyDescent="0.15">
      <c r="A7" s="109" t="s">
        <v>368</v>
      </c>
      <c r="B7" s="106" t="s">
        <v>24</v>
      </c>
      <c r="C7" s="108">
        <v>16.14</v>
      </c>
      <c r="D7" s="108">
        <v>25.2</v>
      </c>
      <c r="E7" s="108">
        <v>23.54</v>
      </c>
      <c r="F7" s="108">
        <v>36.25</v>
      </c>
      <c r="G7" s="108">
        <v>34.5</v>
      </c>
      <c r="H7" s="106" t="s">
        <v>24</v>
      </c>
      <c r="I7" s="108">
        <v>2.9</v>
      </c>
      <c r="J7" s="108">
        <v>2.46</v>
      </c>
      <c r="K7" s="108">
        <v>2.5299999999999998</v>
      </c>
      <c r="L7" s="108">
        <v>1.78</v>
      </c>
      <c r="M7" s="108">
        <v>1.85</v>
      </c>
      <c r="N7" s="106" t="s">
        <v>24</v>
      </c>
      <c r="O7" s="108">
        <v>15.89</v>
      </c>
      <c r="P7" s="108">
        <v>20.87</v>
      </c>
      <c r="Q7" s="108">
        <v>22.82</v>
      </c>
      <c r="R7" s="108">
        <v>16.510000000000002</v>
      </c>
      <c r="S7" s="108">
        <v>22.58</v>
      </c>
      <c r="T7" s="106" t="s">
        <v>24</v>
      </c>
      <c r="U7" s="108">
        <v>22.03</v>
      </c>
      <c r="V7" s="108">
        <v>27.07</v>
      </c>
      <c r="W7" s="108">
        <v>28.77</v>
      </c>
      <c r="X7" s="108">
        <v>22.48</v>
      </c>
      <c r="Y7" s="108">
        <v>29.04</v>
      </c>
      <c r="Z7" s="106" t="s">
        <v>24</v>
      </c>
      <c r="AA7" s="108">
        <v>50.76</v>
      </c>
      <c r="AB7" s="108">
        <v>51.35</v>
      </c>
      <c r="AC7" s="108">
        <v>52.2</v>
      </c>
      <c r="AD7" s="108">
        <v>53.55</v>
      </c>
      <c r="AE7" s="108">
        <v>55.94</v>
      </c>
      <c r="AF7" s="106" t="s">
        <v>24</v>
      </c>
      <c r="AG7" s="108">
        <v>4.7</v>
      </c>
      <c r="AH7" s="108">
        <v>5.35</v>
      </c>
      <c r="AI7" s="108">
        <v>6.06</v>
      </c>
      <c r="AJ7" s="108">
        <v>5.55</v>
      </c>
      <c r="AK7" s="108">
        <v>5.64</v>
      </c>
      <c r="AL7" s="106" t="s">
        <v>24</v>
      </c>
      <c r="AM7" s="106" t="s">
        <v>24</v>
      </c>
      <c r="AN7" s="106" t="s">
        <v>24</v>
      </c>
      <c r="AO7" s="106" t="s">
        <v>24</v>
      </c>
      <c r="AP7" s="106" t="s">
        <v>24</v>
      </c>
      <c r="AQ7" s="106" t="s">
        <v>24</v>
      </c>
      <c r="AR7" s="106" t="s">
        <v>24</v>
      </c>
      <c r="AS7" s="108">
        <v>11.55</v>
      </c>
      <c r="AT7" s="108">
        <v>13.83</v>
      </c>
      <c r="AU7" s="108">
        <v>16.03</v>
      </c>
      <c r="AV7" s="108">
        <v>16.63</v>
      </c>
      <c r="AW7" s="108">
        <v>17.34</v>
      </c>
      <c r="AX7" s="106" t="s">
        <v>24</v>
      </c>
      <c r="AY7" s="108">
        <v>12.43</v>
      </c>
      <c r="AZ7" s="108">
        <v>15.01</v>
      </c>
      <c r="BA7" s="108">
        <v>16.8</v>
      </c>
      <c r="BB7" s="108">
        <v>9.82</v>
      </c>
      <c r="BC7" s="108">
        <v>14.21</v>
      </c>
      <c r="BD7" s="106" t="s">
        <v>24</v>
      </c>
      <c r="BE7" s="108">
        <v>20.43</v>
      </c>
      <c r="BF7" s="108">
        <v>24.46</v>
      </c>
      <c r="BG7" s="108">
        <v>25.75</v>
      </c>
      <c r="BH7" s="108">
        <v>23.86</v>
      </c>
      <c r="BI7" s="108">
        <v>27.48</v>
      </c>
      <c r="BJ7" s="106" t="s">
        <v>24</v>
      </c>
      <c r="BK7" s="108">
        <v>2.0699999999999998</v>
      </c>
      <c r="BL7" s="108">
        <v>1.73</v>
      </c>
      <c r="BM7" s="108">
        <v>1.78</v>
      </c>
      <c r="BN7" s="108">
        <v>1.23</v>
      </c>
      <c r="BO7" s="108">
        <v>1.18</v>
      </c>
      <c r="BP7" s="106" t="s">
        <v>24</v>
      </c>
      <c r="BQ7" s="107">
        <v>7</v>
      </c>
      <c r="BR7" s="108">
        <v>8.65</v>
      </c>
      <c r="BS7" s="108">
        <v>9.91</v>
      </c>
      <c r="BT7" s="108">
        <v>6.17</v>
      </c>
      <c r="BU7" s="108">
        <v>8.9</v>
      </c>
      <c r="BV7" s="106" t="s">
        <v>24</v>
      </c>
      <c r="BW7" s="108"/>
      <c r="BX7" s="108"/>
      <c r="BY7" s="108"/>
      <c r="BZ7" s="106" t="s">
        <v>24</v>
      </c>
      <c r="CA7" s="106" t="s">
        <v>24</v>
      </c>
      <c r="CB7" s="106" t="s">
        <v>24</v>
      </c>
      <c r="CC7" s="108">
        <v>17.350000000000001</v>
      </c>
      <c r="CD7" s="108">
        <v>21.67</v>
      </c>
      <c r="CE7" s="108">
        <v>23.74</v>
      </c>
      <c r="CF7" s="108">
        <v>23.92</v>
      </c>
      <c r="CG7" s="108">
        <v>27.74</v>
      </c>
      <c r="CH7" s="106" t="s">
        <v>24</v>
      </c>
      <c r="CI7" s="108">
        <v>0.56000000000000005</v>
      </c>
      <c r="CJ7" s="108">
        <v>0.57999999999999996</v>
      </c>
      <c r="CK7" s="108">
        <v>0.59</v>
      </c>
      <c r="CL7" s="108">
        <v>0.63</v>
      </c>
      <c r="CM7" s="108">
        <v>0.63</v>
      </c>
      <c r="CN7" s="106" t="s">
        <v>24</v>
      </c>
      <c r="CO7" s="107">
        <v>999452</v>
      </c>
      <c r="CP7" s="107">
        <v>924682</v>
      </c>
      <c r="CQ7" s="107">
        <v>1272422</v>
      </c>
      <c r="CR7" s="107">
        <v>1172909</v>
      </c>
      <c r="CS7" s="107">
        <v>1029902</v>
      </c>
      <c r="CT7" s="106" t="s">
        <v>24</v>
      </c>
      <c r="CU7" s="108">
        <v>4.6500000000000004</v>
      </c>
      <c r="CV7" s="108">
        <v>9.89</v>
      </c>
      <c r="CW7" s="108">
        <v>23.16</v>
      </c>
      <c r="CX7" s="106" t="s">
        <v>24</v>
      </c>
      <c r="CY7" s="106" t="s">
        <v>24</v>
      </c>
    </row>
    <row r="8" spans="1:103" x14ac:dyDescent="0.15">
      <c r="A8" s="109" t="s">
        <v>367</v>
      </c>
      <c r="B8" s="108">
        <v>81.56</v>
      </c>
      <c r="C8" s="108">
        <v>41.78</v>
      </c>
      <c r="D8" s="108">
        <v>45.2</v>
      </c>
      <c r="E8" s="108">
        <v>56.23</v>
      </c>
      <c r="F8" s="108">
        <v>39.03</v>
      </c>
      <c r="G8" s="108">
        <v>39.630000000000003</v>
      </c>
      <c r="H8" s="108">
        <v>0.84</v>
      </c>
      <c r="I8" s="108">
        <v>0.9</v>
      </c>
      <c r="J8" s="108">
        <v>1.04</v>
      </c>
      <c r="K8" s="108">
        <v>1.1200000000000001</v>
      </c>
      <c r="L8" s="108">
        <v>1.1499999999999999</v>
      </c>
      <c r="M8" s="108">
        <v>1.1599999999999999</v>
      </c>
      <c r="N8" s="108">
        <v>0.01</v>
      </c>
      <c r="O8" s="108">
        <v>0.03</v>
      </c>
      <c r="P8" s="108">
        <v>0.04</v>
      </c>
      <c r="Q8" s="108">
        <v>0.03</v>
      </c>
      <c r="R8" s="108">
        <v>0.05</v>
      </c>
      <c r="S8" s="108">
        <v>0.06</v>
      </c>
      <c r="T8" s="108">
        <v>-1.27</v>
      </c>
      <c r="U8" s="108">
        <v>1.64</v>
      </c>
      <c r="V8" s="108">
        <v>1.81</v>
      </c>
      <c r="W8" s="108">
        <v>0.77</v>
      </c>
      <c r="X8" s="108">
        <v>3.79</v>
      </c>
      <c r="Y8" s="108">
        <v>3.36</v>
      </c>
      <c r="Z8" s="108">
        <v>28.86</v>
      </c>
      <c r="AA8" s="108">
        <v>28.92</v>
      </c>
      <c r="AB8" s="108">
        <v>29.63</v>
      </c>
      <c r="AC8" s="108">
        <v>28.19</v>
      </c>
      <c r="AD8" s="108">
        <v>30.01</v>
      </c>
      <c r="AE8" s="108">
        <v>29.99</v>
      </c>
      <c r="AF8" s="108"/>
      <c r="AG8" s="108"/>
      <c r="AH8" s="108"/>
      <c r="AI8" s="108"/>
      <c r="AJ8" s="108"/>
      <c r="AK8" s="108"/>
      <c r="AL8" s="108">
        <v>16.559999999999999</v>
      </c>
      <c r="AM8" s="108">
        <v>19.309999999999999</v>
      </c>
      <c r="AN8" s="108">
        <v>20.66</v>
      </c>
      <c r="AO8" s="108">
        <v>16.61</v>
      </c>
      <c r="AP8" s="108">
        <v>12.28</v>
      </c>
      <c r="AQ8" s="108">
        <v>12.47</v>
      </c>
      <c r="AR8" s="108">
        <v>2.89</v>
      </c>
      <c r="AS8" s="108">
        <v>3.38</v>
      </c>
      <c r="AT8" s="108">
        <v>3.77</v>
      </c>
      <c r="AU8" s="108">
        <v>4.5</v>
      </c>
      <c r="AV8" s="108">
        <v>4.74</v>
      </c>
      <c r="AW8" s="108">
        <v>5.04</v>
      </c>
      <c r="AX8" s="108">
        <v>-0.81</v>
      </c>
      <c r="AY8" s="108">
        <v>1.47</v>
      </c>
      <c r="AZ8" s="108">
        <v>1.59</v>
      </c>
      <c r="BA8" s="108">
        <v>7.0000000000000007E-2</v>
      </c>
      <c r="BB8" s="108">
        <v>2.78</v>
      </c>
      <c r="BC8" s="108">
        <v>3.53</v>
      </c>
      <c r="BD8" s="108">
        <v>0.03</v>
      </c>
      <c r="BE8" s="108">
        <v>0.04</v>
      </c>
      <c r="BF8" s="108">
        <v>0.04</v>
      </c>
      <c r="BG8" s="108">
        <v>0.03</v>
      </c>
      <c r="BH8" s="108">
        <v>0.04</v>
      </c>
      <c r="BI8" s="108">
        <v>0.04</v>
      </c>
      <c r="BJ8" s="108">
        <v>0.56000000000000005</v>
      </c>
      <c r="BK8" s="108">
        <v>0.63</v>
      </c>
      <c r="BL8" s="108">
        <v>0.7</v>
      </c>
      <c r="BM8" s="108">
        <v>0.78</v>
      </c>
      <c r="BN8" s="108">
        <v>0.78</v>
      </c>
      <c r="BO8" s="108">
        <v>0.78</v>
      </c>
      <c r="BP8" s="108">
        <v>-0.89</v>
      </c>
      <c r="BQ8" s="108">
        <v>1.82</v>
      </c>
      <c r="BR8" s="108">
        <v>2.0699999999999998</v>
      </c>
      <c r="BS8" s="108">
        <v>0.1</v>
      </c>
      <c r="BT8" s="108">
        <v>3.74</v>
      </c>
      <c r="BU8" s="108">
        <v>5.15</v>
      </c>
      <c r="BV8" s="108">
        <v>-2.2999999999999998</v>
      </c>
      <c r="BW8" s="108">
        <v>4.78</v>
      </c>
      <c r="BX8" s="108">
        <v>5.3</v>
      </c>
      <c r="BY8" s="108">
        <v>0.24</v>
      </c>
      <c r="BZ8" s="108">
        <v>8.57</v>
      </c>
      <c r="CA8" s="108">
        <v>12.12</v>
      </c>
      <c r="CB8" s="108">
        <v>0.05</v>
      </c>
      <c r="CC8" s="108">
        <v>0.09</v>
      </c>
      <c r="CD8" s="108">
        <v>0.09</v>
      </c>
      <c r="CE8" s="108">
        <v>0.08</v>
      </c>
      <c r="CF8" s="108">
        <v>0.11</v>
      </c>
      <c r="CG8" s="108">
        <v>0.12</v>
      </c>
      <c r="CH8" s="108">
        <v>1.1000000000000001</v>
      </c>
      <c r="CI8" s="108">
        <v>1.24</v>
      </c>
      <c r="CJ8" s="108">
        <v>1.3</v>
      </c>
      <c r="CK8" s="108">
        <v>1.41</v>
      </c>
      <c r="CL8" s="108">
        <v>1.34</v>
      </c>
      <c r="CM8" s="108">
        <v>1.46</v>
      </c>
      <c r="CN8" s="108">
        <v>595490.59</v>
      </c>
      <c r="CO8" s="108">
        <v>759009.01</v>
      </c>
      <c r="CP8" s="108">
        <v>838910.13</v>
      </c>
      <c r="CQ8" s="108">
        <v>786333.22</v>
      </c>
      <c r="CR8" s="108">
        <v>749152.67</v>
      </c>
      <c r="CS8" s="108">
        <v>789429.12</v>
      </c>
      <c r="CT8" s="107">
        <v>0</v>
      </c>
      <c r="CU8" s="107">
        <v>0</v>
      </c>
      <c r="CV8" s="107">
        <v>0</v>
      </c>
      <c r="CW8" s="107">
        <v>0</v>
      </c>
      <c r="CX8" s="107">
        <v>0</v>
      </c>
      <c r="CY8" s="107">
        <v>0</v>
      </c>
    </row>
    <row r="9" spans="1:103" x14ac:dyDescent="0.15">
      <c r="A9" s="109" t="s">
        <v>366</v>
      </c>
      <c r="B9" s="108">
        <v>26.41</v>
      </c>
      <c r="C9" s="108">
        <v>27.87</v>
      </c>
      <c r="D9" s="107">
        <v>26</v>
      </c>
      <c r="E9" s="108">
        <v>27.63</v>
      </c>
      <c r="F9" s="108">
        <v>29.65</v>
      </c>
      <c r="G9" s="108">
        <v>33.64</v>
      </c>
      <c r="H9" s="108">
        <v>2.69</v>
      </c>
      <c r="I9" s="108">
        <v>2.4300000000000002</v>
      </c>
      <c r="J9" s="108">
        <v>2.64</v>
      </c>
      <c r="K9" s="108">
        <v>2.84</v>
      </c>
      <c r="L9" s="108">
        <v>2.82</v>
      </c>
      <c r="M9" s="108">
        <v>2.58</v>
      </c>
      <c r="N9" s="108">
        <v>0.1</v>
      </c>
      <c r="O9" s="108">
        <v>0.11</v>
      </c>
      <c r="P9" s="108">
        <v>0.1</v>
      </c>
      <c r="Q9" s="108">
        <v>0.09</v>
      </c>
      <c r="R9" s="108">
        <v>7.0000000000000007E-2</v>
      </c>
      <c r="S9" s="108">
        <v>0.08</v>
      </c>
      <c r="T9" s="108">
        <v>7.62</v>
      </c>
      <c r="U9" s="108">
        <v>8.92</v>
      </c>
      <c r="V9" s="108">
        <v>7.06</v>
      </c>
      <c r="W9" s="108">
        <v>6.09</v>
      </c>
      <c r="X9" s="108">
        <v>4.3899999999999997</v>
      </c>
      <c r="Y9" s="108">
        <v>5.6</v>
      </c>
      <c r="Z9" s="108">
        <v>36.04</v>
      </c>
      <c r="AA9" s="108">
        <v>35.85</v>
      </c>
      <c r="AB9" s="108">
        <v>35.619999999999997</v>
      </c>
      <c r="AC9" s="108">
        <v>36.090000000000003</v>
      </c>
      <c r="AD9" s="108">
        <v>35.200000000000003</v>
      </c>
      <c r="AE9" s="108">
        <v>37.69</v>
      </c>
      <c r="AF9" s="106" t="s">
        <v>24</v>
      </c>
      <c r="AG9" s="106" t="s">
        <v>24</v>
      </c>
      <c r="AH9" s="106" t="s">
        <v>24</v>
      </c>
      <c r="AI9" s="106" t="s">
        <v>24</v>
      </c>
      <c r="AJ9" s="106" t="s">
        <v>24</v>
      </c>
      <c r="AK9" s="106" t="s">
        <v>24</v>
      </c>
      <c r="AL9" s="108">
        <v>6.53</v>
      </c>
      <c r="AM9" s="108">
        <v>7.78</v>
      </c>
      <c r="AN9" s="108">
        <v>8.5299999999999994</v>
      </c>
      <c r="AO9" s="108">
        <v>8.5299999999999994</v>
      </c>
      <c r="AP9" s="108">
        <v>8.3699999999999992</v>
      </c>
      <c r="AQ9" s="108">
        <v>8.02</v>
      </c>
      <c r="AR9" s="108">
        <v>7.83</v>
      </c>
      <c r="AS9" s="108">
        <v>8.43</v>
      </c>
      <c r="AT9" s="108">
        <v>9.81</v>
      </c>
      <c r="AU9" s="108">
        <v>11.71</v>
      </c>
      <c r="AV9" s="108">
        <v>10.73</v>
      </c>
      <c r="AW9" s="108">
        <v>10.75</v>
      </c>
      <c r="AX9" s="108">
        <v>7.96</v>
      </c>
      <c r="AY9" s="108">
        <v>8.65</v>
      </c>
      <c r="AZ9" s="108">
        <v>7.98</v>
      </c>
      <c r="BA9" s="108">
        <v>7.12</v>
      </c>
      <c r="BB9" s="108">
        <v>6.01</v>
      </c>
      <c r="BC9" s="108">
        <v>6.65</v>
      </c>
      <c r="BD9" s="108">
        <v>0.1</v>
      </c>
      <c r="BE9" s="108">
        <v>0.1</v>
      </c>
      <c r="BF9" s="108">
        <v>0.1</v>
      </c>
      <c r="BG9" s="108">
        <v>0.09</v>
      </c>
      <c r="BH9" s="108">
        <v>0.08</v>
      </c>
      <c r="BI9" s="108">
        <v>0.08</v>
      </c>
      <c r="BJ9" s="108">
        <v>1.91</v>
      </c>
      <c r="BK9" s="108">
        <v>1.87</v>
      </c>
      <c r="BL9" s="107">
        <v>2</v>
      </c>
      <c r="BM9" s="108">
        <v>2.2200000000000002</v>
      </c>
      <c r="BN9" s="108">
        <v>2.16</v>
      </c>
      <c r="BO9" s="108">
        <v>1.96</v>
      </c>
      <c r="BP9" s="108">
        <v>9.33</v>
      </c>
      <c r="BQ9" s="108">
        <v>10.99</v>
      </c>
      <c r="BR9" s="108">
        <v>10.52</v>
      </c>
      <c r="BS9" s="108">
        <v>9.43</v>
      </c>
      <c r="BT9" s="108">
        <v>7.75</v>
      </c>
      <c r="BU9" s="108">
        <v>8.8800000000000008</v>
      </c>
      <c r="BV9" s="108">
        <v>13.09</v>
      </c>
      <c r="BW9" s="108">
        <v>15.54</v>
      </c>
      <c r="BX9" s="108">
        <v>14.73</v>
      </c>
      <c r="BY9" s="108">
        <v>13.28</v>
      </c>
      <c r="BZ9" s="108">
        <v>11.13</v>
      </c>
      <c r="CA9" s="108">
        <v>13.18</v>
      </c>
      <c r="CB9" s="108">
        <v>0.16</v>
      </c>
      <c r="CC9" s="108">
        <v>0.19</v>
      </c>
      <c r="CD9" s="108">
        <v>0.19</v>
      </c>
      <c r="CE9" s="108">
        <v>0.17</v>
      </c>
      <c r="CF9" s="108">
        <v>0.14000000000000001</v>
      </c>
      <c r="CG9" s="108">
        <v>0.16</v>
      </c>
      <c r="CH9" s="108">
        <v>1.17</v>
      </c>
      <c r="CI9" s="108">
        <v>1.27</v>
      </c>
      <c r="CJ9" s="108">
        <v>1.32</v>
      </c>
      <c r="CK9" s="108">
        <v>1.32</v>
      </c>
      <c r="CL9" s="108">
        <v>1.29</v>
      </c>
      <c r="CM9" s="108">
        <v>1.34</v>
      </c>
      <c r="CN9" s="108">
        <v>339894.87</v>
      </c>
      <c r="CO9" s="108">
        <v>357052.87</v>
      </c>
      <c r="CP9" s="108">
        <v>376334.88</v>
      </c>
      <c r="CQ9" s="108">
        <v>351469.16</v>
      </c>
      <c r="CR9" s="108">
        <v>353495.88</v>
      </c>
      <c r="CS9" s="108">
        <v>323953.25</v>
      </c>
      <c r="CT9" s="106" t="s">
        <v>24</v>
      </c>
      <c r="CU9" s="106" t="s">
        <v>24</v>
      </c>
      <c r="CV9" s="106" t="s">
        <v>24</v>
      </c>
      <c r="CW9" s="106" t="s">
        <v>24</v>
      </c>
      <c r="CX9" s="106" t="s">
        <v>24</v>
      </c>
      <c r="CY9" s="106" t="s">
        <v>24</v>
      </c>
    </row>
    <row r="10" spans="1:103" x14ac:dyDescent="0.15">
      <c r="A10" s="109" t="s">
        <v>365</v>
      </c>
      <c r="B10" s="106" t="s">
        <v>24</v>
      </c>
      <c r="C10" s="106" t="s">
        <v>24</v>
      </c>
      <c r="D10" s="106" t="s">
        <v>24</v>
      </c>
      <c r="E10" s="106" t="s">
        <v>24</v>
      </c>
      <c r="F10" s="106" t="s">
        <v>24</v>
      </c>
      <c r="G10" s="106" t="s">
        <v>24</v>
      </c>
      <c r="H10" s="106" t="s">
        <v>24</v>
      </c>
      <c r="I10" s="106" t="s">
        <v>24</v>
      </c>
      <c r="J10" s="106" t="s">
        <v>24</v>
      </c>
      <c r="K10" s="106" t="s">
        <v>24</v>
      </c>
      <c r="L10" s="108">
        <v>1.06</v>
      </c>
      <c r="M10" s="108">
        <v>1.46</v>
      </c>
      <c r="N10" s="106" t="s">
        <v>24</v>
      </c>
      <c r="O10" s="106" t="s">
        <v>24</v>
      </c>
      <c r="P10" s="106" t="s">
        <v>24</v>
      </c>
      <c r="Q10" s="106" t="s">
        <v>24</v>
      </c>
      <c r="R10" s="107">
        <v>0</v>
      </c>
      <c r="S10" s="107">
        <v>0</v>
      </c>
      <c r="T10" s="106" t="s">
        <v>24</v>
      </c>
      <c r="U10" s="106" t="s">
        <v>24</v>
      </c>
      <c r="V10" s="106" t="s">
        <v>24</v>
      </c>
      <c r="W10" s="106" t="s">
        <v>24</v>
      </c>
      <c r="X10" s="108">
        <v>-1.06</v>
      </c>
      <c r="Y10" s="108">
        <v>-5.1100000000000003</v>
      </c>
      <c r="Z10" s="106" t="s">
        <v>24</v>
      </c>
      <c r="AA10" s="106" t="s">
        <v>24</v>
      </c>
      <c r="AB10" s="106" t="s">
        <v>24</v>
      </c>
      <c r="AC10" s="106" t="s">
        <v>24</v>
      </c>
      <c r="AD10" s="108">
        <v>22.68</v>
      </c>
      <c r="AE10" s="108">
        <v>24.34</v>
      </c>
      <c r="AF10" s="106" t="s">
        <v>24</v>
      </c>
      <c r="AG10" s="106" t="s">
        <v>24</v>
      </c>
      <c r="AH10" s="106" t="s">
        <v>24</v>
      </c>
      <c r="AI10" s="106" t="s">
        <v>24</v>
      </c>
      <c r="AJ10" s="108">
        <v>3.26</v>
      </c>
      <c r="AK10" s="108">
        <v>10.93</v>
      </c>
      <c r="AL10" s="106" t="s">
        <v>24</v>
      </c>
      <c r="AM10" s="106" t="s">
        <v>24</v>
      </c>
      <c r="AN10" s="106" t="s">
        <v>24</v>
      </c>
      <c r="AO10" s="106" t="s">
        <v>24</v>
      </c>
      <c r="AP10" s="108">
        <v>276.10000000000002</v>
      </c>
      <c r="AQ10" s="108">
        <v>222.59</v>
      </c>
      <c r="AR10" s="106" t="s">
        <v>24</v>
      </c>
      <c r="AS10" s="106" t="s">
        <v>24</v>
      </c>
      <c r="AT10" s="106" t="s">
        <v>24</v>
      </c>
      <c r="AU10" s="106" t="s">
        <v>24</v>
      </c>
      <c r="AV10" s="108">
        <v>8.6999999999999993</v>
      </c>
      <c r="AW10" s="108">
        <v>16.25</v>
      </c>
      <c r="AX10" s="106" t="s">
        <v>24</v>
      </c>
      <c r="AY10" s="106" t="s">
        <v>24</v>
      </c>
      <c r="AZ10" s="106" t="s">
        <v>24</v>
      </c>
      <c r="BA10" s="106" t="s">
        <v>24</v>
      </c>
      <c r="BB10" s="108">
        <v>4.04</v>
      </c>
      <c r="BC10" s="108">
        <v>4.03</v>
      </c>
      <c r="BD10" s="106" t="s">
        <v>24</v>
      </c>
      <c r="BE10" s="106" t="s">
        <v>24</v>
      </c>
      <c r="BF10" s="106" t="s">
        <v>24</v>
      </c>
      <c r="BG10" s="106" t="s">
        <v>24</v>
      </c>
      <c r="BH10" s="107">
        <v>0</v>
      </c>
      <c r="BI10" s="107">
        <v>0</v>
      </c>
      <c r="BJ10" s="106" t="s">
        <v>24</v>
      </c>
      <c r="BK10" s="106" t="s">
        <v>24</v>
      </c>
      <c r="BL10" s="106" t="s">
        <v>24</v>
      </c>
      <c r="BM10" s="106" t="s">
        <v>24</v>
      </c>
      <c r="BN10" s="108">
        <v>0.77</v>
      </c>
      <c r="BO10" s="108">
        <v>1.23</v>
      </c>
      <c r="BP10" s="106" t="s">
        <v>24</v>
      </c>
      <c r="BQ10" s="106" t="s">
        <v>24</v>
      </c>
      <c r="BR10" s="106" t="s">
        <v>24</v>
      </c>
      <c r="BS10" s="106" t="s">
        <v>24</v>
      </c>
      <c r="BT10" s="108">
        <v>2.4</v>
      </c>
      <c r="BU10" s="108">
        <v>2.2999999999999998</v>
      </c>
      <c r="BV10" s="106" t="s">
        <v>24</v>
      </c>
      <c r="BW10" s="106" t="s">
        <v>24</v>
      </c>
      <c r="BX10" s="106" t="s">
        <v>24</v>
      </c>
      <c r="BY10" s="106" t="s">
        <v>24</v>
      </c>
      <c r="BZ10" s="107">
        <v>4</v>
      </c>
      <c r="CA10" s="108">
        <v>3.55</v>
      </c>
      <c r="CB10" s="106" t="s">
        <v>24</v>
      </c>
      <c r="CC10" s="106" t="s">
        <v>24</v>
      </c>
      <c r="CD10" s="106" t="s">
        <v>24</v>
      </c>
      <c r="CE10" s="106" t="s">
        <v>24</v>
      </c>
      <c r="CF10" s="107">
        <v>0</v>
      </c>
      <c r="CG10" s="107">
        <v>0</v>
      </c>
      <c r="CH10" s="106" t="s">
        <v>24</v>
      </c>
      <c r="CI10" s="106" t="s">
        <v>24</v>
      </c>
      <c r="CJ10" s="106" t="s">
        <v>24</v>
      </c>
      <c r="CK10" s="106" t="s">
        <v>24</v>
      </c>
      <c r="CL10" s="108">
        <v>0.59</v>
      </c>
      <c r="CM10" s="108">
        <v>0.56999999999999995</v>
      </c>
      <c r="CN10" s="106" t="s">
        <v>24</v>
      </c>
      <c r="CO10" s="106" t="s">
        <v>24</v>
      </c>
      <c r="CP10" s="106" t="s">
        <v>24</v>
      </c>
      <c r="CQ10" s="106" t="s">
        <v>24</v>
      </c>
      <c r="CR10" s="108">
        <v>739901.17</v>
      </c>
      <c r="CS10" s="108">
        <v>682855.96</v>
      </c>
      <c r="CT10" s="106" t="s">
        <v>24</v>
      </c>
      <c r="CU10" s="106" t="s">
        <v>24</v>
      </c>
      <c r="CV10" s="106" t="s">
        <v>24</v>
      </c>
      <c r="CW10" s="106" t="s">
        <v>24</v>
      </c>
      <c r="CX10" s="107">
        <v>0</v>
      </c>
      <c r="CY10" s="107">
        <v>0</v>
      </c>
    </row>
    <row r="11" spans="1:103" x14ac:dyDescent="0.15">
      <c r="A11" s="109" t="s">
        <v>364</v>
      </c>
      <c r="B11" s="108">
        <v>23.92</v>
      </c>
      <c r="C11" s="108">
        <v>21.61</v>
      </c>
      <c r="D11" s="108">
        <v>22.18</v>
      </c>
      <c r="E11" s="108">
        <v>-49.81</v>
      </c>
      <c r="F11" s="108">
        <v>36.72</v>
      </c>
      <c r="G11" s="108">
        <v>36.21</v>
      </c>
      <c r="H11" s="108">
        <v>0.93</v>
      </c>
      <c r="I11" s="108">
        <v>0.84</v>
      </c>
      <c r="J11" s="108">
        <v>0.79</v>
      </c>
      <c r="K11" s="108">
        <v>0.74</v>
      </c>
      <c r="L11" s="108">
        <v>0.76</v>
      </c>
      <c r="M11" s="108">
        <v>0.68</v>
      </c>
      <c r="N11" s="108">
        <v>13.58</v>
      </c>
      <c r="O11" s="108">
        <v>15.6</v>
      </c>
      <c r="P11" s="108">
        <v>16.13</v>
      </c>
      <c r="Q11" s="107">
        <v>18</v>
      </c>
      <c r="R11" s="108">
        <v>17.98</v>
      </c>
      <c r="S11" s="108">
        <v>18.38</v>
      </c>
      <c r="T11" s="108">
        <v>26.04</v>
      </c>
      <c r="U11" s="108">
        <v>27.75</v>
      </c>
      <c r="V11" s="108">
        <v>28.64</v>
      </c>
      <c r="W11" s="108">
        <v>30.85</v>
      </c>
      <c r="X11" s="108">
        <v>30.77</v>
      </c>
      <c r="Y11" s="108">
        <v>30.96</v>
      </c>
      <c r="Z11" s="108">
        <v>68.02</v>
      </c>
      <c r="AA11" s="108">
        <v>68.39</v>
      </c>
      <c r="AB11" s="108">
        <v>68.58</v>
      </c>
      <c r="AC11" s="108">
        <v>69.97</v>
      </c>
      <c r="AD11" s="108">
        <v>69.569999999999993</v>
      </c>
      <c r="AE11" s="108">
        <v>69.739999999999995</v>
      </c>
      <c r="AF11" s="108">
        <v>3.81</v>
      </c>
      <c r="AG11" s="108">
        <v>4.63</v>
      </c>
      <c r="AH11" s="108">
        <v>5.37</v>
      </c>
      <c r="AI11" s="108">
        <v>6.1</v>
      </c>
      <c r="AJ11" s="108">
        <v>5.98</v>
      </c>
      <c r="AK11" s="108">
        <v>6.18</v>
      </c>
      <c r="AL11" s="106" t="s">
        <v>24</v>
      </c>
      <c r="AM11" s="106" t="s">
        <v>24</v>
      </c>
      <c r="AN11" s="106" t="s">
        <v>24</v>
      </c>
      <c r="AO11" s="106" t="s">
        <v>24</v>
      </c>
      <c r="AP11" s="106" t="s">
        <v>24</v>
      </c>
      <c r="AQ11" s="106" t="s">
        <v>24</v>
      </c>
      <c r="AR11" s="108">
        <v>2.06</v>
      </c>
      <c r="AS11" s="108">
        <v>2.35</v>
      </c>
      <c r="AT11" s="108">
        <v>2.2799999999999998</v>
      </c>
      <c r="AU11" s="108">
        <v>2.2599999999999998</v>
      </c>
      <c r="AV11" s="108">
        <v>2.29</v>
      </c>
      <c r="AW11" s="108">
        <v>2.31</v>
      </c>
      <c r="AX11" s="108">
        <v>10.17</v>
      </c>
      <c r="AY11" s="108">
        <v>11.99</v>
      </c>
      <c r="AZ11" s="108">
        <v>12.41</v>
      </c>
      <c r="BA11" s="108">
        <v>26.87</v>
      </c>
      <c r="BB11" s="108">
        <v>10.81</v>
      </c>
      <c r="BC11" s="108">
        <v>10.96</v>
      </c>
      <c r="BD11" s="108">
        <v>16.89</v>
      </c>
      <c r="BE11" s="108">
        <v>19.39</v>
      </c>
      <c r="BF11" s="108">
        <v>20.11</v>
      </c>
      <c r="BG11" s="108">
        <v>21.28</v>
      </c>
      <c r="BH11" s="108">
        <v>20.97</v>
      </c>
      <c r="BI11" s="108">
        <v>21.47</v>
      </c>
      <c r="BJ11" s="108">
        <v>0.81</v>
      </c>
      <c r="BK11" s="108">
        <v>0.55000000000000004</v>
      </c>
      <c r="BL11" s="108">
        <v>0.54</v>
      </c>
      <c r="BM11" s="108">
        <v>0.56000000000000005</v>
      </c>
      <c r="BN11" s="108">
        <v>0.52</v>
      </c>
      <c r="BO11" s="108">
        <v>0.51</v>
      </c>
      <c r="BP11" s="108">
        <v>3.91</v>
      </c>
      <c r="BQ11" s="108">
        <v>5.07</v>
      </c>
      <c r="BR11" s="108">
        <v>5.35</v>
      </c>
      <c r="BS11" s="108">
        <v>12.36</v>
      </c>
      <c r="BT11" s="107">
        <v>5</v>
      </c>
      <c r="BU11" s="108">
        <v>5.01</v>
      </c>
      <c r="BV11" s="108">
        <v>12.14</v>
      </c>
      <c r="BW11" s="108">
        <v>16.920000000000002</v>
      </c>
      <c r="BX11" s="108">
        <v>16.73</v>
      </c>
      <c r="BY11" s="108">
        <v>37.07</v>
      </c>
      <c r="BZ11" s="108">
        <v>16.329999999999998</v>
      </c>
      <c r="CA11" s="108">
        <v>15.55</v>
      </c>
      <c r="CB11" s="108">
        <v>9.2100000000000009</v>
      </c>
      <c r="CC11" s="108">
        <v>11.47</v>
      </c>
      <c r="CD11" s="108">
        <v>12.01</v>
      </c>
      <c r="CE11" s="108">
        <v>14.5</v>
      </c>
      <c r="CF11" s="108">
        <v>15.29</v>
      </c>
      <c r="CG11" s="108">
        <v>15.54</v>
      </c>
      <c r="CH11" s="108">
        <v>0.38</v>
      </c>
      <c r="CI11" s="108">
        <v>0.42</v>
      </c>
      <c r="CJ11" s="108">
        <v>0.43</v>
      </c>
      <c r="CK11" s="108">
        <v>0.46</v>
      </c>
      <c r="CL11" s="108">
        <v>0.46</v>
      </c>
      <c r="CM11" s="108">
        <v>0.46</v>
      </c>
      <c r="CN11" s="107">
        <v>614768</v>
      </c>
      <c r="CO11" s="107">
        <v>573379</v>
      </c>
      <c r="CP11" s="107">
        <v>513625</v>
      </c>
      <c r="CQ11" s="107">
        <v>515402</v>
      </c>
      <c r="CR11" s="107">
        <v>504298</v>
      </c>
      <c r="CS11" s="107">
        <v>528440</v>
      </c>
      <c r="CT11" s="108">
        <v>1.1499999999999999</v>
      </c>
      <c r="CU11" s="108">
        <v>1.24</v>
      </c>
      <c r="CV11" s="108">
        <v>1.56</v>
      </c>
      <c r="CW11" s="108">
        <v>0.94</v>
      </c>
      <c r="CX11" s="108">
        <v>1.1299999999999999</v>
      </c>
      <c r="CY11" s="108">
        <v>1.01</v>
      </c>
    </row>
    <row r="12" spans="1:103" x14ac:dyDescent="0.15">
      <c r="A12" s="109" t="s">
        <v>363</v>
      </c>
      <c r="B12" s="108">
        <v>31.89</v>
      </c>
      <c r="C12" s="108">
        <v>36.299999999999997</v>
      </c>
      <c r="D12" s="108">
        <v>36.69</v>
      </c>
      <c r="E12" s="108">
        <v>36.9</v>
      </c>
      <c r="F12" s="108">
        <v>37.409999999999997</v>
      </c>
      <c r="G12" s="108">
        <v>40.26</v>
      </c>
      <c r="H12" s="108">
        <v>2.93</v>
      </c>
      <c r="I12" s="108">
        <v>2.25</v>
      </c>
      <c r="J12" s="108">
        <v>2.7</v>
      </c>
      <c r="K12" s="108">
        <v>2.11</v>
      </c>
      <c r="L12" s="108">
        <v>3.03</v>
      </c>
      <c r="M12" s="108">
        <v>2.91</v>
      </c>
      <c r="N12" s="108">
        <v>0.12</v>
      </c>
      <c r="O12" s="108">
        <v>0.15</v>
      </c>
      <c r="P12" s="108">
        <v>0.14000000000000001</v>
      </c>
      <c r="Q12" s="108">
        <v>0.11</v>
      </c>
      <c r="R12" s="108">
        <v>0.13</v>
      </c>
      <c r="S12" s="108">
        <v>0.14000000000000001</v>
      </c>
      <c r="T12" s="108">
        <v>1.68</v>
      </c>
      <c r="U12" s="108">
        <v>6.26</v>
      </c>
      <c r="V12" s="108">
        <v>3.33</v>
      </c>
      <c r="W12" s="108">
        <v>1.33</v>
      </c>
      <c r="X12" s="108">
        <v>3.32</v>
      </c>
      <c r="Y12" s="108">
        <v>7.05</v>
      </c>
      <c r="Z12" s="108">
        <v>36.869999999999997</v>
      </c>
      <c r="AA12" s="108">
        <v>37.74</v>
      </c>
      <c r="AB12" s="108">
        <v>38.79</v>
      </c>
      <c r="AC12" s="108">
        <v>38.700000000000003</v>
      </c>
      <c r="AD12" s="108">
        <v>38.49</v>
      </c>
      <c r="AE12" s="108">
        <v>39.94</v>
      </c>
      <c r="AF12" s="108"/>
      <c r="AG12" s="108"/>
      <c r="AH12" s="108"/>
      <c r="AI12" s="108"/>
      <c r="AJ12" s="106" t="s">
        <v>24</v>
      </c>
      <c r="AK12" s="106" t="s">
        <v>24</v>
      </c>
      <c r="AL12" s="108">
        <v>13.95</v>
      </c>
      <c r="AM12" s="108">
        <v>15.29</v>
      </c>
      <c r="AN12" s="108">
        <v>13.94</v>
      </c>
      <c r="AO12" s="108">
        <v>13.9</v>
      </c>
      <c r="AP12" s="108">
        <v>13.19</v>
      </c>
      <c r="AQ12" s="108">
        <v>11.48</v>
      </c>
      <c r="AR12" s="108">
        <v>1.9</v>
      </c>
      <c r="AS12" s="108">
        <v>1.9</v>
      </c>
      <c r="AT12" s="108">
        <v>1.9</v>
      </c>
      <c r="AU12" s="107">
        <v>2</v>
      </c>
      <c r="AV12" s="108">
        <v>2.2400000000000002</v>
      </c>
      <c r="AW12" s="108">
        <v>2.33</v>
      </c>
      <c r="AX12" s="108">
        <v>8.58</v>
      </c>
      <c r="AY12" s="108">
        <v>10.85</v>
      </c>
      <c r="AZ12" s="108">
        <v>9.2799999999999994</v>
      </c>
      <c r="BA12" s="108">
        <v>7.9</v>
      </c>
      <c r="BB12" s="108">
        <v>8.92</v>
      </c>
      <c r="BC12" s="108">
        <v>10.25</v>
      </c>
      <c r="BD12" s="108">
        <v>0.12</v>
      </c>
      <c r="BE12" s="108">
        <v>0.12</v>
      </c>
      <c r="BF12" s="108">
        <v>0.14000000000000001</v>
      </c>
      <c r="BG12" s="108">
        <v>0.13</v>
      </c>
      <c r="BH12" s="108">
        <v>0.13</v>
      </c>
      <c r="BI12" s="108">
        <v>0.12</v>
      </c>
      <c r="BJ12" s="108">
        <v>2.35</v>
      </c>
      <c r="BK12" s="108">
        <v>1.88</v>
      </c>
      <c r="BL12" s="108">
        <v>2.19</v>
      </c>
      <c r="BM12" s="108">
        <v>1.8</v>
      </c>
      <c r="BN12" s="108">
        <v>2.5099999999999998</v>
      </c>
      <c r="BO12" s="108">
        <v>2.44</v>
      </c>
      <c r="BP12" s="108">
        <v>6.76</v>
      </c>
      <c r="BQ12" s="108">
        <v>8.4499999999999993</v>
      </c>
      <c r="BR12" s="108">
        <v>7.14</v>
      </c>
      <c r="BS12" s="108">
        <v>6.06</v>
      </c>
      <c r="BT12" s="108">
        <v>6.98</v>
      </c>
      <c r="BU12" s="108">
        <v>7.98</v>
      </c>
      <c r="BV12" s="108">
        <v>9.42</v>
      </c>
      <c r="BW12" s="108">
        <v>12.22</v>
      </c>
      <c r="BX12" s="108">
        <v>10.85</v>
      </c>
      <c r="BY12" s="108">
        <v>9.6999999999999993</v>
      </c>
      <c r="BZ12" s="108">
        <v>11.39</v>
      </c>
      <c r="CA12" s="108">
        <v>12.99</v>
      </c>
      <c r="CB12" s="108">
        <v>0.12</v>
      </c>
      <c r="CC12" s="108">
        <v>0.12</v>
      </c>
      <c r="CD12" s="108">
        <v>0.13</v>
      </c>
      <c r="CE12" s="108">
        <v>0.12</v>
      </c>
      <c r="CF12" s="108">
        <v>0.12</v>
      </c>
      <c r="CG12" s="108">
        <v>0.12</v>
      </c>
      <c r="CH12" s="108">
        <v>0.79</v>
      </c>
      <c r="CI12" s="108">
        <v>0.78</v>
      </c>
      <c r="CJ12" s="108">
        <v>0.77</v>
      </c>
      <c r="CK12" s="108">
        <v>0.77</v>
      </c>
      <c r="CL12" s="108">
        <v>0.78</v>
      </c>
      <c r="CM12" s="108">
        <v>0.78</v>
      </c>
      <c r="CN12" s="108">
        <v>148925.64000000001</v>
      </c>
      <c r="CO12" s="108">
        <v>146755.81</v>
      </c>
      <c r="CP12" s="108">
        <v>152728.25</v>
      </c>
      <c r="CQ12" s="108">
        <v>154322.85999999999</v>
      </c>
      <c r="CR12" s="108">
        <v>157160.07</v>
      </c>
      <c r="CS12" s="108">
        <v>148084.57</v>
      </c>
      <c r="CT12" s="107">
        <v>0</v>
      </c>
      <c r="CU12" s="107">
        <v>0</v>
      </c>
      <c r="CV12" s="107">
        <v>0</v>
      </c>
      <c r="CW12" s="107">
        <v>0</v>
      </c>
      <c r="CX12" s="107">
        <v>0</v>
      </c>
      <c r="CY12" s="107">
        <v>0</v>
      </c>
    </row>
    <row r="13" spans="1:103" x14ac:dyDescent="0.15">
      <c r="A13" s="109" t="s">
        <v>362</v>
      </c>
      <c r="B13" s="106" t="s">
        <v>24</v>
      </c>
      <c r="C13" s="108">
        <v>3.53</v>
      </c>
      <c r="D13" s="108">
        <v>31.43</v>
      </c>
      <c r="E13" s="108">
        <v>237.84</v>
      </c>
      <c r="F13" s="108">
        <v>26.51</v>
      </c>
      <c r="G13" s="108">
        <v>32.799999999999997</v>
      </c>
      <c r="H13" s="106" t="s">
        <v>24</v>
      </c>
      <c r="I13" s="108">
        <v>1.61</v>
      </c>
      <c r="J13" s="108">
        <v>1.06</v>
      </c>
      <c r="K13" s="108">
        <v>5.34</v>
      </c>
      <c r="L13" s="108">
        <v>1.66</v>
      </c>
      <c r="M13" s="108">
        <v>1.64</v>
      </c>
      <c r="N13" s="106" t="s">
        <v>24</v>
      </c>
      <c r="O13" s="108">
        <v>20.6</v>
      </c>
      <c r="P13" s="108">
        <v>10.28</v>
      </c>
      <c r="Q13" s="108">
        <v>1.08</v>
      </c>
      <c r="R13" s="108">
        <v>26.3</v>
      </c>
      <c r="S13" s="108">
        <v>24.37</v>
      </c>
      <c r="T13" s="106" t="s">
        <v>24</v>
      </c>
      <c r="U13" s="108">
        <v>28.34</v>
      </c>
      <c r="V13" s="108">
        <v>19.22</v>
      </c>
      <c r="W13" s="108">
        <v>9.86</v>
      </c>
      <c r="X13" s="108">
        <v>33.880000000000003</v>
      </c>
      <c r="Y13" s="108">
        <v>31.69</v>
      </c>
      <c r="Z13" s="106" t="s">
        <v>24</v>
      </c>
      <c r="AA13" s="108">
        <v>65.73</v>
      </c>
      <c r="AB13" s="108">
        <v>62.71</v>
      </c>
      <c r="AC13" s="108">
        <v>61.36</v>
      </c>
      <c r="AD13" s="108">
        <v>62.57</v>
      </c>
      <c r="AE13" s="108">
        <v>63.36</v>
      </c>
      <c r="AF13" s="106" t="s">
        <v>24</v>
      </c>
      <c r="AG13" s="108">
        <v>4.59</v>
      </c>
      <c r="AH13" s="108">
        <v>2.59</v>
      </c>
      <c r="AI13" s="108">
        <v>1.58</v>
      </c>
      <c r="AJ13" s="108">
        <v>5.65</v>
      </c>
      <c r="AK13" s="108">
        <v>6.07</v>
      </c>
      <c r="AL13" s="106" t="s">
        <v>24</v>
      </c>
      <c r="AM13" s="106" t="s">
        <v>24</v>
      </c>
      <c r="AN13" s="106" t="s">
        <v>24</v>
      </c>
      <c r="AO13" s="106" t="s">
        <v>24</v>
      </c>
      <c r="AP13" s="106" t="s">
        <v>24</v>
      </c>
      <c r="AQ13" s="106" t="s">
        <v>24</v>
      </c>
      <c r="AR13" s="106" t="s">
        <v>24</v>
      </c>
      <c r="AS13" s="108">
        <v>12.73</v>
      </c>
      <c r="AT13" s="108">
        <v>15.11</v>
      </c>
      <c r="AU13" s="108">
        <v>12.74</v>
      </c>
      <c r="AV13" s="108">
        <v>13.36</v>
      </c>
      <c r="AW13" s="108">
        <v>12.27</v>
      </c>
      <c r="AX13" s="106" t="s">
        <v>24</v>
      </c>
      <c r="AY13" s="108">
        <v>18.57</v>
      </c>
      <c r="AZ13" s="108">
        <v>5.63</v>
      </c>
      <c r="BA13" s="108">
        <v>-4.9000000000000004</v>
      </c>
      <c r="BB13" s="108">
        <v>18.38</v>
      </c>
      <c r="BC13" s="108">
        <v>16.170000000000002</v>
      </c>
      <c r="BD13" s="106" t="s">
        <v>24</v>
      </c>
      <c r="BE13" s="107">
        <v>27</v>
      </c>
      <c r="BF13" s="108">
        <v>17.53</v>
      </c>
      <c r="BG13" s="108">
        <v>10.43</v>
      </c>
      <c r="BH13" s="108">
        <v>30.71</v>
      </c>
      <c r="BI13" s="108">
        <v>31.31</v>
      </c>
      <c r="BJ13" s="106" t="s">
        <v>24</v>
      </c>
      <c r="BK13" s="108">
        <v>1.29</v>
      </c>
      <c r="BL13" s="108">
        <v>0.9</v>
      </c>
      <c r="BM13" s="108">
        <v>4.88</v>
      </c>
      <c r="BN13" s="108">
        <v>1.1499999999999999</v>
      </c>
      <c r="BO13" s="108">
        <v>1.18</v>
      </c>
      <c r="BP13" s="106" t="s">
        <v>24</v>
      </c>
      <c r="BQ13" s="108">
        <v>6.24</v>
      </c>
      <c r="BR13" s="108">
        <v>2.16</v>
      </c>
      <c r="BS13" s="108">
        <v>-1.76</v>
      </c>
      <c r="BT13" s="108">
        <v>7.53</v>
      </c>
      <c r="BU13" s="108">
        <v>6.49</v>
      </c>
      <c r="BV13" s="106" t="s">
        <v>24</v>
      </c>
      <c r="BW13" s="108">
        <v>22.64</v>
      </c>
      <c r="BX13" s="108">
        <v>9.14</v>
      </c>
      <c r="BY13" s="108">
        <v>-6.89</v>
      </c>
      <c r="BZ13" s="108">
        <v>22.43</v>
      </c>
      <c r="CA13" s="108">
        <v>18.71</v>
      </c>
      <c r="CB13" s="106" t="s">
        <v>24</v>
      </c>
      <c r="CC13" s="108">
        <v>11.86</v>
      </c>
      <c r="CD13" s="108">
        <v>8.25</v>
      </c>
      <c r="CE13" s="108">
        <v>4.41</v>
      </c>
      <c r="CF13" s="108">
        <v>15.14</v>
      </c>
      <c r="CG13" s="108">
        <v>15.44</v>
      </c>
      <c r="CH13" s="106" t="s">
        <v>24</v>
      </c>
      <c r="CI13" s="108">
        <v>0.34</v>
      </c>
      <c r="CJ13" s="108">
        <v>0.38</v>
      </c>
      <c r="CK13" s="108">
        <v>0.36</v>
      </c>
      <c r="CL13" s="108">
        <v>0.41</v>
      </c>
      <c r="CM13" s="108">
        <v>0.4</v>
      </c>
      <c r="CN13" s="106" t="s">
        <v>24</v>
      </c>
      <c r="CO13" s="107">
        <v>1211304</v>
      </c>
      <c r="CP13" s="107">
        <v>1172556</v>
      </c>
      <c r="CQ13" s="107">
        <v>981857</v>
      </c>
      <c r="CR13" s="107">
        <v>925607</v>
      </c>
      <c r="CS13" s="107">
        <v>913429</v>
      </c>
      <c r="CT13" s="106" t="s">
        <v>24</v>
      </c>
      <c r="CU13" s="108">
        <v>1.56</v>
      </c>
      <c r="CV13" s="108">
        <v>2.0299999999999998</v>
      </c>
      <c r="CW13" s="108">
        <v>3.21</v>
      </c>
      <c r="CX13" s="108">
        <v>1.53</v>
      </c>
      <c r="CY13" s="108">
        <v>1.42</v>
      </c>
    </row>
    <row r="14" spans="1:103" x14ac:dyDescent="0.15">
      <c r="A14" s="109" t="s">
        <v>361</v>
      </c>
      <c r="B14" s="106" t="s">
        <v>24</v>
      </c>
      <c r="C14" s="108">
        <v>21.58</v>
      </c>
      <c r="D14" s="108">
        <v>11.21</v>
      </c>
      <c r="E14" s="108">
        <v>32.83</v>
      </c>
      <c r="F14" s="108">
        <v>36.42</v>
      </c>
      <c r="G14" s="108">
        <v>38.43</v>
      </c>
      <c r="H14" s="108">
        <v>1.32</v>
      </c>
      <c r="I14" s="108">
        <v>0.9</v>
      </c>
      <c r="J14" s="108">
        <v>0.94</v>
      </c>
      <c r="K14" s="108">
        <v>0.81</v>
      </c>
      <c r="L14" s="108">
        <v>1.01</v>
      </c>
      <c r="M14" s="108">
        <v>1.03</v>
      </c>
      <c r="N14" s="108">
        <v>-3.66</v>
      </c>
      <c r="O14" s="108">
        <v>20.190000000000001</v>
      </c>
      <c r="P14" s="108">
        <v>24.95</v>
      </c>
      <c r="Q14" s="108">
        <v>24.43</v>
      </c>
      <c r="R14" s="108">
        <v>25.06</v>
      </c>
      <c r="S14" s="108">
        <v>24.88</v>
      </c>
      <c r="T14" s="108">
        <v>6.79</v>
      </c>
      <c r="U14" s="108">
        <v>27.58</v>
      </c>
      <c r="V14" s="108">
        <v>30.99</v>
      </c>
      <c r="W14" s="108">
        <v>30.17</v>
      </c>
      <c r="X14" s="108">
        <v>30.07</v>
      </c>
      <c r="Y14" s="108">
        <v>29.59</v>
      </c>
      <c r="Z14" s="108">
        <v>32.89</v>
      </c>
      <c r="AA14" s="108">
        <v>39.6</v>
      </c>
      <c r="AB14" s="108">
        <v>44.94</v>
      </c>
      <c r="AC14" s="108">
        <v>45.04</v>
      </c>
      <c r="AD14" s="108">
        <v>46.09</v>
      </c>
      <c r="AE14" s="108">
        <v>45.94</v>
      </c>
      <c r="AF14" s="106" t="s">
        <v>24</v>
      </c>
      <c r="AG14" s="108">
        <v>10.91</v>
      </c>
      <c r="AH14" s="108">
        <v>25.79</v>
      </c>
      <c r="AI14" s="108">
        <v>35.78</v>
      </c>
      <c r="AJ14" s="108">
        <v>54.62</v>
      </c>
      <c r="AK14" s="108"/>
      <c r="AL14" s="108">
        <v>27.15</v>
      </c>
      <c r="AM14" s="108">
        <v>27.63</v>
      </c>
      <c r="AN14" s="108">
        <v>23.67</v>
      </c>
      <c r="AO14" s="108">
        <v>21.94</v>
      </c>
      <c r="AP14" s="108">
        <v>20.260000000000002</v>
      </c>
      <c r="AQ14" s="108">
        <v>18.04</v>
      </c>
      <c r="AR14" s="108">
        <v>2.02</v>
      </c>
      <c r="AS14" s="108">
        <v>2.2799999999999998</v>
      </c>
      <c r="AT14" s="108">
        <v>2.06</v>
      </c>
      <c r="AU14" s="108">
        <v>1.98</v>
      </c>
      <c r="AV14" s="108">
        <v>2.12</v>
      </c>
      <c r="AW14" s="108">
        <v>2.13</v>
      </c>
      <c r="AX14" s="108">
        <v>-4.38</v>
      </c>
      <c r="AY14" s="108">
        <v>15.89</v>
      </c>
      <c r="AZ14" s="108">
        <v>21.2</v>
      </c>
      <c r="BA14" s="108">
        <v>16.29</v>
      </c>
      <c r="BB14" s="108">
        <v>16.88</v>
      </c>
      <c r="BC14" s="108">
        <v>15.98</v>
      </c>
      <c r="BD14" s="108">
        <v>-2.97</v>
      </c>
      <c r="BE14" s="108">
        <v>15.33</v>
      </c>
      <c r="BF14" s="108">
        <v>24.91</v>
      </c>
      <c r="BG14" s="108">
        <v>24.98</v>
      </c>
      <c r="BH14" s="108">
        <v>25.53</v>
      </c>
      <c r="BI14" s="108">
        <v>25.1</v>
      </c>
      <c r="BJ14" s="108">
        <v>1.1499999999999999</v>
      </c>
      <c r="BK14" s="108">
        <v>0.67</v>
      </c>
      <c r="BL14" s="108">
        <v>0.75</v>
      </c>
      <c r="BM14" s="108">
        <v>0.65</v>
      </c>
      <c r="BN14" s="108">
        <v>0.81</v>
      </c>
      <c r="BO14" s="108">
        <v>0.75</v>
      </c>
      <c r="BP14" s="108">
        <v>-1.42</v>
      </c>
      <c r="BQ14" s="108">
        <v>7.58</v>
      </c>
      <c r="BR14" s="107">
        <v>13</v>
      </c>
      <c r="BS14" s="108">
        <v>9.59</v>
      </c>
      <c r="BT14" s="108">
        <v>10.45</v>
      </c>
      <c r="BU14" s="108">
        <v>9.57</v>
      </c>
      <c r="BV14" s="108">
        <v>-3.27</v>
      </c>
      <c r="BW14" s="108">
        <v>16.11</v>
      </c>
      <c r="BX14" s="108">
        <v>28.05</v>
      </c>
      <c r="BY14" s="108">
        <v>21.29</v>
      </c>
      <c r="BZ14" s="108">
        <v>21.45</v>
      </c>
      <c r="CA14" s="108">
        <v>18.43</v>
      </c>
      <c r="CB14" s="108">
        <v>-1.37</v>
      </c>
      <c r="CC14" s="108">
        <v>10.41</v>
      </c>
      <c r="CD14" s="108">
        <v>21.79</v>
      </c>
      <c r="CE14" s="108">
        <v>21.24</v>
      </c>
      <c r="CF14" s="108">
        <v>22.73</v>
      </c>
      <c r="CG14" s="108">
        <v>21.3</v>
      </c>
      <c r="CH14" s="108">
        <v>0.33</v>
      </c>
      <c r="CI14" s="108">
        <v>0.48</v>
      </c>
      <c r="CJ14" s="108">
        <v>0.61</v>
      </c>
      <c r="CK14" s="108">
        <v>0.59</v>
      </c>
      <c r="CL14" s="108">
        <v>0.62</v>
      </c>
      <c r="CM14" s="108">
        <v>0.6</v>
      </c>
      <c r="CN14" s="107">
        <v>316899</v>
      </c>
      <c r="CO14" s="107">
        <v>312830</v>
      </c>
      <c r="CP14" s="107">
        <v>296504</v>
      </c>
      <c r="CQ14" s="107">
        <v>277832</v>
      </c>
      <c r="CR14" s="107">
        <v>286076</v>
      </c>
      <c r="CS14" s="107">
        <v>279008</v>
      </c>
      <c r="CT14" s="108">
        <v>0.7</v>
      </c>
      <c r="CU14" s="108">
        <v>0.53</v>
      </c>
      <c r="CV14" s="108">
        <v>0.43</v>
      </c>
      <c r="CW14" s="108">
        <v>0.61</v>
      </c>
      <c r="CX14" s="108">
        <v>0.47</v>
      </c>
      <c r="CY14" s="108">
        <v>0.39</v>
      </c>
    </row>
    <row r="15" spans="1:103" x14ac:dyDescent="0.15">
      <c r="A15" s="109" t="s">
        <v>360</v>
      </c>
      <c r="B15" s="106" t="s">
        <v>24</v>
      </c>
      <c r="C15" s="106" t="s">
        <v>24</v>
      </c>
      <c r="D15" s="106" t="s">
        <v>24</v>
      </c>
      <c r="E15" s="106" t="s">
        <v>24</v>
      </c>
      <c r="F15" s="106" t="s">
        <v>24</v>
      </c>
      <c r="G15" s="106" t="s">
        <v>24</v>
      </c>
      <c r="H15" s="106" t="s">
        <v>24</v>
      </c>
      <c r="I15" s="106" t="s">
        <v>24</v>
      </c>
      <c r="J15" s="106" t="s">
        <v>24</v>
      </c>
      <c r="K15" s="106" t="s">
        <v>24</v>
      </c>
      <c r="L15" s="106" t="s">
        <v>24</v>
      </c>
      <c r="M15" s="106" t="s">
        <v>24</v>
      </c>
      <c r="N15" s="106" t="s">
        <v>24</v>
      </c>
      <c r="O15" s="106" t="s">
        <v>24</v>
      </c>
      <c r="P15" s="106" t="s">
        <v>24</v>
      </c>
      <c r="Q15" s="106" t="s">
        <v>24</v>
      </c>
      <c r="R15" s="106" t="s">
        <v>24</v>
      </c>
      <c r="S15" s="106" t="s">
        <v>24</v>
      </c>
      <c r="T15" s="106" t="s">
        <v>24</v>
      </c>
      <c r="U15" s="106" t="s">
        <v>24</v>
      </c>
      <c r="V15" s="106" t="s">
        <v>24</v>
      </c>
      <c r="W15" s="106" t="s">
        <v>24</v>
      </c>
      <c r="X15" s="106" t="s">
        <v>24</v>
      </c>
      <c r="Y15" s="106" t="s">
        <v>24</v>
      </c>
      <c r="Z15" s="106" t="s">
        <v>24</v>
      </c>
      <c r="AA15" s="106" t="s">
        <v>24</v>
      </c>
      <c r="AB15" s="106" t="s">
        <v>24</v>
      </c>
      <c r="AC15" s="106" t="s">
        <v>24</v>
      </c>
      <c r="AD15" s="106" t="s">
        <v>24</v>
      </c>
      <c r="AE15" s="106" t="s">
        <v>24</v>
      </c>
      <c r="AF15" s="106" t="s">
        <v>24</v>
      </c>
      <c r="AG15" s="106" t="s">
        <v>24</v>
      </c>
      <c r="AH15" s="106" t="s">
        <v>24</v>
      </c>
      <c r="AI15" s="106" t="s">
        <v>24</v>
      </c>
      <c r="AJ15" s="106" t="s">
        <v>24</v>
      </c>
      <c r="AK15" s="106" t="s">
        <v>24</v>
      </c>
      <c r="AL15" s="106" t="s">
        <v>24</v>
      </c>
      <c r="AM15" s="106" t="s">
        <v>24</v>
      </c>
      <c r="AN15" s="106" t="s">
        <v>24</v>
      </c>
      <c r="AO15" s="106" t="s">
        <v>24</v>
      </c>
      <c r="AP15" s="106" t="s">
        <v>24</v>
      </c>
      <c r="AQ15" s="106" t="s">
        <v>24</v>
      </c>
      <c r="AR15" s="106" t="s">
        <v>24</v>
      </c>
      <c r="AS15" s="106" t="s">
        <v>24</v>
      </c>
      <c r="AT15" s="106" t="s">
        <v>24</v>
      </c>
      <c r="AU15" s="106" t="s">
        <v>24</v>
      </c>
      <c r="AV15" s="106" t="s">
        <v>24</v>
      </c>
      <c r="AW15" s="106" t="s">
        <v>24</v>
      </c>
      <c r="AX15" s="106" t="s">
        <v>24</v>
      </c>
      <c r="AY15" s="106" t="s">
        <v>24</v>
      </c>
      <c r="AZ15" s="106" t="s">
        <v>24</v>
      </c>
      <c r="BA15" s="106" t="s">
        <v>24</v>
      </c>
      <c r="BB15" s="106" t="s">
        <v>24</v>
      </c>
      <c r="BC15" s="106" t="s">
        <v>24</v>
      </c>
      <c r="BD15" s="106" t="s">
        <v>24</v>
      </c>
      <c r="BE15" s="106" t="s">
        <v>24</v>
      </c>
      <c r="BF15" s="106" t="s">
        <v>24</v>
      </c>
      <c r="BG15" s="106" t="s">
        <v>24</v>
      </c>
      <c r="BH15" s="106" t="s">
        <v>24</v>
      </c>
      <c r="BI15" s="106" t="s">
        <v>24</v>
      </c>
      <c r="BJ15" s="106" t="s">
        <v>24</v>
      </c>
      <c r="BK15" s="106" t="s">
        <v>24</v>
      </c>
      <c r="BL15" s="106" t="s">
        <v>24</v>
      </c>
      <c r="BM15" s="106" t="s">
        <v>24</v>
      </c>
      <c r="BN15" s="106" t="s">
        <v>24</v>
      </c>
      <c r="BO15" s="106" t="s">
        <v>24</v>
      </c>
      <c r="BP15" s="106" t="s">
        <v>24</v>
      </c>
      <c r="BQ15" s="106" t="s">
        <v>24</v>
      </c>
      <c r="BR15" s="106" t="s">
        <v>24</v>
      </c>
      <c r="BS15" s="106" t="s">
        <v>24</v>
      </c>
      <c r="BT15" s="106" t="s">
        <v>24</v>
      </c>
      <c r="BU15" s="106" t="s">
        <v>24</v>
      </c>
      <c r="BV15" s="106" t="s">
        <v>24</v>
      </c>
      <c r="BW15" s="106" t="s">
        <v>24</v>
      </c>
      <c r="BX15" s="106" t="s">
        <v>24</v>
      </c>
      <c r="BY15" s="106" t="s">
        <v>24</v>
      </c>
      <c r="BZ15" s="106" t="s">
        <v>24</v>
      </c>
      <c r="CA15" s="106" t="s">
        <v>24</v>
      </c>
      <c r="CB15" s="106" t="s">
        <v>24</v>
      </c>
      <c r="CC15" s="106" t="s">
        <v>24</v>
      </c>
      <c r="CD15" s="106" t="s">
        <v>24</v>
      </c>
      <c r="CE15" s="106" t="s">
        <v>24</v>
      </c>
      <c r="CF15" s="106" t="s">
        <v>24</v>
      </c>
      <c r="CG15" s="106" t="s">
        <v>24</v>
      </c>
      <c r="CH15" s="106" t="s">
        <v>24</v>
      </c>
      <c r="CI15" s="106" t="s">
        <v>24</v>
      </c>
      <c r="CJ15" s="106" t="s">
        <v>24</v>
      </c>
      <c r="CK15" s="106" t="s">
        <v>24</v>
      </c>
      <c r="CL15" s="106" t="s">
        <v>24</v>
      </c>
      <c r="CM15" s="106" t="s">
        <v>24</v>
      </c>
      <c r="CN15" s="106" t="s">
        <v>24</v>
      </c>
      <c r="CO15" s="106" t="s">
        <v>24</v>
      </c>
      <c r="CP15" s="106" t="s">
        <v>24</v>
      </c>
      <c r="CQ15" s="106" t="s">
        <v>24</v>
      </c>
      <c r="CR15" s="106" t="s">
        <v>24</v>
      </c>
      <c r="CS15" s="106" t="s">
        <v>24</v>
      </c>
      <c r="CT15" s="106" t="s">
        <v>24</v>
      </c>
      <c r="CU15" s="106" t="s">
        <v>24</v>
      </c>
      <c r="CV15" s="106" t="s">
        <v>24</v>
      </c>
      <c r="CW15" s="106" t="s">
        <v>24</v>
      </c>
      <c r="CX15" s="106" t="s">
        <v>24</v>
      </c>
      <c r="CY15" s="106" t="s">
        <v>24</v>
      </c>
    </row>
    <row r="16" spans="1:103" x14ac:dyDescent="0.15">
      <c r="A16" s="109" t="s">
        <v>359</v>
      </c>
      <c r="B16" s="106" t="s">
        <v>24</v>
      </c>
      <c r="C16" s="106" t="s">
        <v>24</v>
      </c>
      <c r="D16" s="106" t="s">
        <v>24</v>
      </c>
      <c r="E16" s="106" t="s">
        <v>24</v>
      </c>
      <c r="F16" s="106" t="s">
        <v>24</v>
      </c>
      <c r="G16" s="106" t="s">
        <v>24</v>
      </c>
      <c r="H16" s="106" t="s">
        <v>24</v>
      </c>
      <c r="I16" s="106" t="s">
        <v>24</v>
      </c>
      <c r="J16" s="106" t="s">
        <v>24</v>
      </c>
      <c r="K16" s="106" t="s">
        <v>24</v>
      </c>
      <c r="L16" s="106" t="s">
        <v>24</v>
      </c>
      <c r="M16" s="106" t="s">
        <v>24</v>
      </c>
      <c r="N16" s="106" t="s">
        <v>24</v>
      </c>
      <c r="O16" s="106" t="s">
        <v>24</v>
      </c>
      <c r="P16" s="106" t="s">
        <v>24</v>
      </c>
      <c r="Q16" s="106" t="s">
        <v>24</v>
      </c>
      <c r="R16" s="106" t="s">
        <v>24</v>
      </c>
      <c r="S16" s="106" t="s">
        <v>24</v>
      </c>
      <c r="T16" s="106" t="s">
        <v>24</v>
      </c>
      <c r="U16" s="106" t="s">
        <v>24</v>
      </c>
      <c r="V16" s="106" t="s">
        <v>24</v>
      </c>
      <c r="W16" s="106" t="s">
        <v>24</v>
      </c>
      <c r="X16" s="106" t="s">
        <v>24</v>
      </c>
      <c r="Y16" s="106" t="s">
        <v>24</v>
      </c>
      <c r="Z16" s="106" t="s">
        <v>24</v>
      </c>
      <c r="AA16" s="106" t="s">
        <v>24</v>
      </c>
      <c r="AB16" s="106" t="s">
        <v>24</v>
      </c>
      <c r="AC16" s="106" t="s">
        <v>24</v>
      </c>
      <c r="AD16" s="106" t="s">
        <v>24</v>
      </c>
      <c r="AE16" s="106" t="s">
        <v>24</v>
      </c>
      <c r="AF16" s="106" t="s">
        <v>24</v>
      </c>
      <c r="AG16" s="106" t="s">
        <v>24</v>
      </c>
      <c r="AH16" s="106" t="s">
        <v>24</v>
      </c>
      <c r="AI16" s="106" t="s">
        <v>24</v>
      </c>
      <c r="AJ16" s="106" t="s">
        <v>24</v>
      </c>
      <c r="AK16" s="106" t="s">
        <v>24</v>
      </c>
      <c r="AL16" s="106" t="s">
        <v>24</v>
      </c>
      <c r="AM16" s="106" t="s">
        <v>24</v>
      </c>
      <c r="AN16" s="106" t="s">
        <v>24</v>
      </c>
      <c r="AO16" s="106" t="s">
        <v>24</v>
      </c>
      <c r="AP16" s="106" t="s">
        <v>24</v>
      </c>
      <c r="AQ16" s="106" t="s">
        <v>24</v>
      </c>
      <c r="AR16" s="106" t="s">
        <v>24</v>
      </c>
      <c r="AS16" s="106" t="s">
        <v>24</v>
      </c>
      <c r="AT16" s="106" t="s">
        <v>24</v>
      </c>
      <c r="AU16" s="106" t="s">
        <v>24</v>
      </c>
      <c r="AV16" s="106" t="s">
        <v>24</v>
      </c>
      <c r="AW16" s="106" t="s">
        <v>24</v>
      </c>
      <c r="AX16" s="106" t="s">
        <v>24</v>
      </c>
      <c r="AY16" s="106" t="s">
        <v>24</v>
      </c>
      <c r="AZ16" s="106" t="s">
        <v>24</v>
      </c>
      <c r="BA16" s="106" t="s">
        <v>24</v>
      </c>
      <c r="BB16" s="106" t="s">
        <v>24</v>
      </c>
      <c r="BC16" s="106" t="s">
        <v>24</v>
      </c>
      <c r="BD16" s="106" t="s">
        <v>24</v>
      </c>
      <c r="BE16" s="106" t="s">
        <v>24</v>
      </c>
      <c r="BF16" s="106" t="s">
        <v>24</v>
      </c>
      <c r="BG16" s="106" t="s">
        <v>24</v>
      </c>
      <c r="BH16" s="106" t="s">
        <v>24</v>
      </c>
      <c r="BI16" s="106" t="s">
        <v>24</v>
      </c>
      <c r="BJ16" s="106" t="s">
        <v>24</v>
      </c>
      <c r="BK16" s="106" t="s">
        <v>24</v>
      </c>
      <c r="BL16" s="106" t="s">
        <v>24</v>
      </c>
      <c r="BM16" s="106" t="s">
        <v>24</v>
      </c>
      <c r="BN16" s="106" t="s">
        <v>24</v>
      </c>
      <c r="BO16" s="106" t="s">
        <v>24</v>
      </c>
      <c r="BP16" s="106" t="s">
        <v>24</v>
      </c>
      <c r="BQ16" s="106" t="s">
        <v>24</v>
      </c>
      <c r="BR16" s="106" t="s">
        <v>24</v>
      </c>
      <c r="BS16" s="106" t="s">
        <v>24</v>
      </c>
      <c r="BT16" s="106" t="s">
        <v>24</v>
      </c>
      <c r="BU16" s="106" t="s">
        <v>24</v>
      </c>
      <c r="BV16" s="106" t="s">
        <v>24</v>
      </c>
      <c r="BW16" s="106" t="s">
        <v>24</v>
      </c>
      <c r="BX16" s="106" t="s">
        <v>24</v>
      </c>
      <c r="BY16" s="106" t="s">
        <v>24</v>
      </c>
      <c r="BZ16" s="106" t="s">
        <v>24</v>
      </c>
      <c r="CA16" s="106" t="s">
        <v>24</v>
      </c>
      <c r="CB16" s="106" t="s">
        <v>24</v>
      </c>
      <c r="CC16" s="106" t="s">
        <v>24</v>
      </c>
      <c r="CD16" s="106" t="s">
        <v>24</v>
      </c>
      <c r="CE16" s="106" t="s">
        <v>24</v>
      </c>
      <c r="CF16" s="106" t="s">
        <v>24</v>
      </c>
      <c r="CG16" s="106" t="s">
        <v>24</v>
      </c>
      <c r="CH16" s="106" t="s">
        <v>24</v>
      </c>
      <c r="CI16" s="106" t="s">
        <v>24</v>
      </c>
      <c r="CJ16" s="106" t="s">
        <v>24</v>
      </c>
      <c r="CK16" s="106" t="s">
        <v>24</v>
      </c>
      <c r="CL16" s="106" t="s">
        <v>24</v>
      </c>
      <c r="CM16" s="106" t="s">
        <v>24</v>
      </c>
      <c r="CN16" s="106" t="s">
        <v>24</v>
      </c>
      <c r="CO16" s="106" t="s">
        <v>24</v>
      </c>
      <c r="CP16" s="106" t="s">
        <v>24</v>
      </c>
      <c r="CQ16" s="106" t="s">
        <v>24</v>
      </c>
      <c r="CR16" s="106" t="s">
        <v>24</v>
      </c>
      <c r="CS16" s="106" t="s">
        <v>24</v>
      </c>
      <c r="CT16" s="106" t="s">
        <v>24</v>
      </c>
      <c r="CU16" s="106" t="s">
        <v>24</v>
      </c>
      <c r="CV16" s="106" t="s">
        <v>24</v>
      </c>
      <c r="CW16" s="106" t="s">
        <v>24</v>
      </c>
      <c r="CX16" s="106" t="s">
        <v>24</v>
      </c>
      <c r="CY16" s="106" t="s">
        <v>24</v>
      </c>
    </row>
    <row r="17" spans="1:103" x14ac:dyDescent="0.15">
      <c r="A17" s="109" t="s">
        <v>358</v>
      </c>
      <c r="B17" s="106" t="s">
        <v>24</v>
      </c>
      <c r="C17" s="106" t="s">
        <v>24</v>
      </c>
      <c r="D17" s="108">
        <v>36.79</v>
      </c>
      <c r="E17" s="108">
        <v>31.92</v>
      </c>
      <c r="F17" s="108">
        <v>39.14</v>
      </c>
      <c r="G17" s="108">
        <v>39.04</v>
      </c>
      <c r="H17" s="106" t="s">
        <v>24</v>
      </c>
      <c r="I17" s="108">
        <v>3.17</v>
      </c>
      <c r="J17" s="108">
        <v>5.0199999999999996</v>
      </c>
      <c r="K17" s="108">
        <v>5.64</v>
      </c>
      <c r="L17" s="108">
        <v>3.8</v>
      </c>
      <c r="M17" s="108">
        <v>3.58</v>
      </c>
      <c r="N17" s="106" t="s">
        <v>24</v>
      </c>
      <c r="O17" s="108">
        <v>-4.1399999999999997</v>
      </c>
      <c r="P17" s="108">
        <v>7.19</v>
      </c>
      <c r="Q17" s="108">
        <v>48.39</v>
      </c>
      <c r="R17" s="108">
        <v>12.97</v>
      </c>
      <c r="S17" s="108">
        <v>16.54</v>
      </c>
      <c r="T17" s="106" t="s">
        <v>24</v>
      </c>
      <c r="U17" s="108">
        <v>3.51</v>
      </c>
      <c r="V17" s="108">
        <v>14.53</v>
      </c>
      <c r="W17" s="108">
        <v>53.33</v>
      </c>
      <c r="X17" s="108">
        <v>23.4</v>
      </c>
      <c r="Y17" s="108">
        <v>26.58</v>
      </c>
      <c r="Z17" s="106" t="s">
        <v>24</v>
      </c>
      <c r="AA17" s="108">
        <v>42.92</v>
      </c>
      <c r="AB17" s="108">
        <v>42.8</v>
      </c>
      <c r="AC17" s="108">
        <v>69.44</v>
      </c>
      <c r="AD17" s="108">
        <v>52.43</v>
      </c>
      <c r="AE17" s="108">
        <v>53.74</v>
      </c>
      <c r="AF17" s="106" t="s">
        <v>24</v>
      </c>
      <c r="AG17" s="106" t="s">
        <v>24</v>
      </c>
      <c r="AH17" s="108">
        <v>2.85</v>
      </c>
      <c r="AI17" s="108">
        <v>17.47</v>
      </c>
      <c r="AJ17" s="108">
        <v>3.22</v>
      </c>
      <c r="AK17" s="108">
        <v>4.25</v>
      </c>
      <c r="AL17" s="106" t="s">
        <v>24</v>
      </c>
      <c r="AM17" s="106" t="s">
        <v>24</v>
      </c>
      <c r="AN17" s="106" t="s">
        <v>24</v>
      </c>
      <c r="AO17" s="106" t="s">
        <v>24</v>
      </c>
      <c r="AP17" s="106" t="s">
        <v>24</v>
      </c>
      <c r="AQ17" s="106" t="s">
        <v>24</v>
      </c>
      <c r="AR17" s="106" t="s">
        <v>24</v>
      </c>
      <c r="AS17" s="108">
        <v>3.78</v>
      </c>
      <c r="AT17" s="108">
        <v>4.75</v>
      </c>
      <c r="AU17" s="108">
        <v>9.27</v>
      </c>
      <c r="AV17" s="108">
        <v>4.55</v>
      </c>
      <c r="AW17" s="108">
        <v>4.43</v>
      </c>
      <c r="AX17" s="106" t="s">
        <v>24</v>
      </c>
      <c r="AY17" s="108">
        <v>-7.21</v>
      </c>
      <c r="AZ17" s="108">
        <v>4.08</v>
      </c>
      <c r="BA17" s="108">
        <v>32.89</v>
      </c>
      <c r="BB17" s="108">
        <v>7.89</v>
      </c>
      <c r="BC17" s="108">
        <v>10.08</v>
      </c>
      <c r="BD17" s="106" t="s">
        <v>24</v>
      </c>
      <c r="BE17" s="108">
        <v>-0.6</v>
      </c>
      <c r="BF17" s="108">
        <v>11.27</v>
      </c>
      <c r="BG17" s="108">
        <v>51.94</v>
      </c>
      <c r="BH17" s="108">
        <v>18.899999999999999</v>
      </c>
      <c r="BI17" s="108">
        <v>21.74</v>
      </c>
      <c r="BJ17" s="106" t="s">
        <v>24</v>
      </c>
      <c r="BK17" s="108">
        <v>2.97</v>
      </c>
      <c r="BL17" s="108">
        <v>4.78</v>
      </c>
      <c r="BM17" s="108">
        <v>1.86</v>
      </c>
      <c r="BN17" s="108">
        <v>3.44</v>
      </c>
      <c r="BO17" s="108">
        <v>3.18</v>
      </c>
      <c r="BP17" s="106" t="s">
        <v>24</v>
      </c>
      <c r="BQ17" s="108">
        <v>-2.93</v>
      </c>
      <c r="BR17" s="108">
        <v>1.67</v>
      </c>
      <c r="BS17" s="108">
        <v>27.46</v>
      </c>
      <c r="BT17" s="108">
        <v>3.89</v>
      </c>
      <c r="BU17" s="108">
        <v>4.8499999999999996</v>
      </c>
      <c r="BV17" s="106" t="s">
        <v>24</v>
      </c>
      <c r="BW17" s="108">
        <v>-6.35</v>
      </c>
      <c r="BX17" s="108">
        <v>3.57</v>
      </c>
      <c r="BY17" s="108">
        <v>66.23</v>
      </c>
      <c r="BZ17" s="108">
        <v>11.6</v>
      </c>
      <c r="CA17" s="108">
        <v>16.38</v>
      </c>
      <c r="CB17" s="106" t="s">
        <v>24</v>
      </c>
      <c r="CC17" s="108">
        <v>-0.31</v>
      </c>
      <c r="CD17" s="108">
        <v>5.5</v>
      </c>
      <c r="CE17" s="108">
        <v>49.79</v>
      </c>
      <c r="CF17" s="108">
        <v>10.17</v>
      </c>
      <c r="CG17" s="108">
        <v>11.39</v>
      </c>
      <c r="CH17" s="106" t="s">
        <v>24</v>
      </c>
      <c r="CI17" s="108">
        <v>0.41</v>
      </c>
      <c r="CJ17" s="108">
        <v>0.41</v>
      </c>
      <c r="CK17" s="108">
        <v>0.84</v>
      </c>
      <c r="CL17" s="108">
        <v>0.49</v>
      </c>
      <c r="CM17" s="108">
        <v>0.48</v>
      </c>
      <c r="CN17" s="106" t="s">
        <v>24</v>
      </c>
      <c r="CO17" s="107">
        <v>247803</v>
      </c>
      <c r="CP17" s="107">
        <v>257625</v>
      </c>
      <c r="CQ17" s="107">
        <v>425762</v>
      </c>
      <c r="CR17" s="107">
        <v>232050</v>
      </c>
      <c r="CS17" s="107">
        <v>218141</v>
      </c>
      <c r="CT17" s="106" t="s">
        <v>24</v>
      </c>
      <c r="CU17" s="108">
        <v>0.75</v>
      </c>
      <c r="CV17" s="108">
        <v>0.73</v>
      </c>
      <c r="CW17" s="108">
        <v>0.85</v>
      </c>
      <c r="CX17" s="108">
        <v>1.58</v>
      </c>
      <c r="CY17" s="108">
        <v>1.89</v>
      </c>
    </row>
    <row r="18" spans="1:103" x14ac:dyDescent="0.15">
      <c r="A18" s="109" t="s">
        <v>357</v>
      </c>
      <c r="B18" s="108">
        <v>27.46</v>
      </c>
      <c r="C18" s="108">
        <v>26.12</v>
      </c>
      <c r="D18" s="108">
        <v>-2.67</v>
      </c>
      <c r="E18" s="108">
        <v>37.130000000000003</v>
      </c>
      <c r="F18" s="108">
        <v>39.93</v>
      </c>
      <c r="G18" s="106" t="s">
        <v>24</v>
      </c>
      <c r="H18" s="108">
        <v>3.93</v>
      </c>
      <c r="I18" s="108">
        <v>3.78</v>
      </c>
      <c r="J18" s="108">
        <v>3.17</v>
      </c>
      <c r="K18" s="108">
        <v>1.37</v>
      </c>
      <c r="L18" s="106" t="s">
        <v>24</v>
      </c>
      <c r="M18" s="106" t="s">
        <v>24</v>
      </c>
      <c r="N18" s="108">
        <v>11.9</v>
      </c>
      <c r="O18" s="108">
        <v>19.53</v>
      </c>
      <c r="P18" s="108">
        <v>21.37</v>
      </c>
      <c r="Q18" s="108">
        <v>22.59</v>
      </c>
      <c r="R18" s="108">
        <v>20.72</v>
      </c>
      <c r="S18" s="106" t="s">
        <v>24</v>
      </c>
      <c r="T18" s="108">
        <v>16.420000000000002</v>
      </c>
      <c r="U18" s="108">
        <v>22.68</v>
      </c>
      <c r="V18" s="108">
        <v>23.34</v>
      </c>
      <c r="W18" s="108">
        <v>24.37</v>
      </c>
      <c r="X18" s="108">
        <v>22.67</v>
      </c>
      <c r="Y18" s="106" t="s">
        <v>24</v>
      </c>
      <c r="Z18" s="108">
        <v>36.54</v>
      </c>
      <c r="AA18" s="108">
        <v>35.67</v>
      </c>
      <c r="AB18" s="108">
        <v>35.93</v>
      </c>
      <c r="AC18" s="108">
        <v>38.51</v>
      </c>
      <c r="AD18" s="108">
        <v>37.5</v>
      </c>
      <c r="AE18" s="106" t="s">
        <v>24</v>
      </c>
      <c r="AF18" s="108">
        <v>7.48</v>
      </c>
      <c r="AG18" s="108">
        <v>15.01</v>
      </c>
      <c r="AH18" s="108">
        <v>52.74</v>
      </c>
      <c r="AI18" s="108"/>
      <c r="AJ18" s="107"/>
      <c r="AK18" s="106" t="s">
        <v>24</v>
      </c>
      <c r="AL18" s="108">
        <v>7.87</v>
      </c>
      <c r="AM18" s="108">
        <v>6.35</v>
      </c>
      <c r="AN18" s="108">
        <v>5.83</v>
      </c>
      <c r="AO18" s="106" t="s">
        <v>24</v>
      </c>
      <c r="AP18" s="106" t="s">
        <v>24</v>
      </c>
      <c r="AQ18" s="106" t="s">
        <v>24</v>
      </c>
      <c r="AR18" s="108">
        <v>8.73</v>
      </c>
      <c r="AS18" s="108">
        <v>9.18</v>
      </c>
      <c r="AT18" s="108">
        <v>8.86</v>
      </c>
      <c r="AU18" s="106" t="s">
        <v>24</v>
      </c>
      <c r="AV18" s="106" t="s">
        <v>24</v>
      </c>
      <c r="AW18" s="106" t="s">
        <v>24</v>
      </c>
      <c r="AX18" s="108">
        <v>8.1199999999999992</v>
      </c>
      <c r="AY18" s="107">
        <v>14</v>
      </c>
      <c r="AZ18" s="108">
        <v>21.54</v>
      </c>
      <c r="BA18" s="108">
        <v>13.83</v>
      </c>
      <c r="BB18" s="108">
        <v>12.05</v>
      </c>
      <c r="BC18" s="106" t="s">
        <v>24</v>
      </c>
      <c r="BD18" s="108">
        <v>20.3</v>
      </c>
      <c r="BE18" s="108">
        <v>21.35</v>
      </c>
      <c r="BF18" s="108">
        <v>22.34</v>
      </c>
      <c r="BG18" s="108">
        <v>25.8</v>
      </c>
      <c r="BH18" s="108">
        <v>22.67</v>
      </c>
      <c r="BI18" s="106" t="s">
        <v>24</v>
      </c>
      <c r="BJ18" s="108">
        <v>3.42</v>
      </c>
      <c r="BK18" s="108">
        <v>3.03</v>
      </c>
      <c r="BL18" s="108">
        <v>2.46</v>
      </c>
      <c r="BM18" s="108">
        <v>0.83</v>
      </c>
      <c r="BN18" s="106" t="s">
        <v>24</v>
      </c>
      <c r="BO18" s="106" t="s">
        <v>24</v>
      </c>
      <c r="BP18" s="108">
        <v>4.83</v>
      </c>
      <c r="BQ18" s="108">
        <v>9.7799999999999994</v>
      </c>
      <c r="BR18" s="108">
        <v>18.64</v>
      </c>
      <c r="BS18" s="106" t="s">
        <v>24</v>
      </c>
      <c r="BT18" s="106" t="s">
        <v>24</v>
      </c>
      <c r="BU18" s="106" t="s">
        <v>24</v>
      </c>
      <c r="BV18" s="108">
        <v>9.94</v>
      </c>
      <c r="BW18" s="108">
        <v>16.32</v>
      </c>
      <c r="BX18" s="108">
        <v>27.88</v>
      </c>
      <c r="BY18" s="106" t="s">
        <v>24</v>
      </c>
      <c r="BZ18" s="106" t="s">
        <v>24</v>
      </c>
      <c r="CA18" s="106" t="s">
        <v>24</v>
      </c>
      <c r="CB18" s="108">
        <v>14.34</v>
      </c>
      <c r="CC18" s="108">
        <v>18.489999999999998</v>
      </c>
      <c r="CD18" s="108">
        <v>28.92</v>
      </c>
      <c r="CE18" s="106" t="s">
        <v>24</v>
      </c>
      <c r="CF18" s="106" t="s">
        <v>24</v>
      </c>
      <c r="CG18" s="106" t="s">
        <v>24</v>
      </c>
      <c r="CH18" s="108">
        <v>0.59</v>
      </c>
      <c r="CI18" s="108">
        <v>0.7</v>
      </c>
      <c r="CJ18" s="108">
        <v>0.87</v>
      </c>
      <c r="CK18" s="106" t="s">
        <v>24</v>
      </c>
      <c r="CL18" s="106" t="s">
        <v>24</v>
      </c>
      <c r="CM18" s="106" t="s">
        <v>24</v>
      </c>
      <c r="CN18" s="107">
        <v>1363265</v>
      </c>
      <c r="CO18" s="107">
        <v>1479091</v>
      </c>
      <c r="CP18" s="107">
        <v>1335921</v>
      </c>
      <c r="CQ18" s="106" t="s">
        <v>24</v>
      </c>
      <c r="CR18" s="106" t="s">
        <v>24</v>
      </c>
      <c r="CS18" s="106" t="s">
        <v>24</v>
      </c>
      <c r="CT18" s="108">
        <v>0.79</v>
      </c>
      <c r="CU18" s="108">
        <v>0.68</v>
      </c>
      <c r="CV18" s="106" t="s">
        <v>24</v>
      </c>
      <c r="CW18" s="106" t="s">
        <v>24</v>
      </c>
      <c r="CX18" s="106" t="s">
        <v>24</v>
      </c>
      <c r="CY18" s="106" t="s">
        <v>24</v>
      </c>
    </row>
    <row r="19" spans="1:103" x14ac:dyDescent="0.15">
      <c r="A19" s="109" t="s">
        <v>356</v>
      </c>
      <c r="B19" s="108">
        <v>29.47</v>
      </c>
      <c r="C19" s="108">
        <v>32.1</v>
      </c>
      <c r="D19" s="108">
        <v>23.98</v>
      </c>
      <c r="E19" s="108">
        <v>17.78</v>
      </c>
      <c r="F19" s="108">
        <v>27.95</v>
      </c>
      <c r="G19" s="108">
        <v>46.36</v>
      </c>
      <c r="H19" s="108">
        <v>2.5499999999999998</v>
      </c>
      <c r="I19" s="108">
        <v>2.14</v>
      </c>
      <c r="J19" s="108">
        <v>2.17</v>
      </c>
      <c r="K19" s="108">
        <v>2.2799999999999998</v>
      </c>
      <c r="L19" s="108">
        <v>1.93</v>
      </c>
      <c r="M19" s="108">
        <v>2.11</v>
      </c>
      <c r="N19" s="108">
        <v>0.08</v>
      </c>
      <c r="O19" s="108">
        <v>0.04</v>
      </c>
      <c r="P19" s="108">
        <v>0.04</v>
      </c>
      <c r="Q19" s="108">
        <v>0.04</v>
      </c>
      <c r="R19" s="108">
        <v>0.04</v>
      </c>
      <c r="S19" s="108">
        <v>0.03</v>
      </c>
      <c r="T19" s="108">
        <v>8.42</v>
      </c>
      <c r="U19" s="108">
        <v>5.21</v>
      </c>
      <c r="V19" s="108">
        <v>4.33</v>
      </c>
      <c r="W19" s="108">
        <v>4.63</v>
      </c>
      <c r="X19" s="108">
        <v>4.28</v>
      </c>
      <c r="Y19" s="108">
        <v>3.37</v>
      </c>
      <c r="Z19" s="108">
        <v>29.41</v>
      </c>
      <c r="AA19" s="108">
        <v>29.56</v>
      </c>
      <c r="AB19" s="108">
        <v>30.68</v>
      </c>
      <c r="AC19" s="108">
        <v>30.04</v>
      </c>
      <c r="AD19" s="108">
        <v>31.43</v>
      </c>
      <c r="AE19" s="108">
        <v>31.9</v>
      </c>
      <c r="AF19" s="108">
        <v>27.24</v>
      </c>
      <c r="AG19" s="108">
        <v>36.08</v>
      </c>
      <c r="AH19" s="108">
        <v>26.23</v>
      </c>
      <c r="AI19" s="108">
        <v>18.21</v>
      </c>
      <c r="AJ19" s="108">
        <v>18.21</v>
      </c>
      <c r="AK19" s="108">
        <v>22.11</v>
      </c>
      <c r="AL19" s="108">
        <v>5.08</v>
      </c>
      <c r="AM19" s="108">
        <v>6.17</v>
      </c>
      <c r="AN19" s="108">
        <v>5.7</v>
      </c>
      <c r="AO19" s="108">
        <v>5.77</v>
      </c>
      <c r="AP19" s="108">
        <v>6.09</v>
      </c>
      <c r="AQ19" s="108">
        <v>7.74</v>
      </c>
      <c r="AR19" s="108">
        <v>1.44</v>
      </c>
      <c r="AS19" s="108">
        <v>1.57</v>
      </c>
      <c r="AT19" s="108">
        <v>1.58</v>
      </c>
      <c r="AU19" s="108">
        <v>1.65</v>
      </c>
      <c r="AV19" s="108">
        <v>1.78</v>
      </c>
      <c r="AW19" s="108">
        <v>1.97</v>
      </c>
      <c r="AX19" s="108">
        <v>6.54</v>
      </c>
      <c r="AY19" s="108">
        <v>3.53</v>
      </c>
      <c r="AZ19" s="108">
        <v>3.86</v>
      </c>
      <c r="BA19" s="108">
        <v>4.1900000000000004</v>
      </c>
      <c r="BB19" s="108">
        <v>3.56</v>
      </c>
      <c r="BC19" s="108">
        <v>3.09</v>
      </c>
      <c r="BD19" s="108">
        <v>0.04</v>
      </c>
      <c r="BE19" s="108">
        <v>0.05</v>
      </c>
      <c r="BF19" s="108">
        <v>0.04</v>
      </c>
      <c r="BG19" s="108">
        <v>0.03</v>
      </c>
      <c r="BH19" s="108">
        <v>0.03</v>
      </c>
      <c r="BI19" s="108">
        <v>0.03</v>
      </c>
      <c r="BJ19" s="108">
        <v>1.7</v>
      </c>
      <c r="BK19" s="108">
        <v>1.55</v>
      </c>
      <c r="BL19" s="108">
        <v>1.51</v>
      </c>
      <c r="BM19" s="108">
        <v>1.59</v>
      </c>
      <c r="BN19" s="108">
        <v>1.32</v>
      </c>
      <c r="BO19" s="108">
        <v>1.51</v>
      </c>
      <c r="BP19" s="108">
        <v>3.24</v>
      </c>
      <c r="BQ19" s="108">
        <v>1.86</v>
      </c>
      <c r="BR19" s="108">
        <v>2.0499999999999998</v>
      </c>
      <c r="BS19" s="108">
        <v>2.36</v>
      </c>
      <c r="BT19" s="108">
        <v>2.0699999999999998</v>
      </c>
      <c r="BU19" s="108">
        <v>1.92</v>
      </c>
      <c r="BV19" s="108">
        <v>5.62</v>
      </c>
      <c r="BW19" s="108">
        <v>3.29</v>
      </c>
      <c r="BX19" s="108">
        <v>3.63</v>
      </c>
      <c r="BY19" s="108">
        <v>4.22</v>
      </c>
      <c r="BZ19" s="108">
        <v>3.61</v>
      </c>
      <c r="CA19" s="108">
        <v>3.29</v>
      </c>
      <c r="CB19" s="108">
        <v>0.03</v>
      </c>
      <c r="CC19" s="108">
        <v>0.03</v>
      </c>
      <c r="CD19" s="108">
        <v>0.03</v>
      </c>
      <c r="CE19" s="108">
        <v>0.02</v>
      </c>
      <c r="CF19" s="108">
        <v>0.03</v>
      </c>
      <c r="CG19" s="108">
        <v>0.03</v>
      </c>
      <c r="CH19" s="108">
        <v>0.49</v>
      </c>
      <c r="CI19" s="108">
        <v>0.53</v>
      </c>
      <c r="CJ19" s="108">
        <v>0.53</v>
      </c>
      <c r="CK19" s="108">
        <v>0.56000000000000005</v>
      </c>
      <c r="CL19" s="108">
        <v>0.57999999999999996</v>
      </c>
      <c r="CM19" s="108">
        <v>0.62</v>
      </c>
      <c r="CN19" s="108">
        <v>535245.5</v>
      </c>
      <c r="CO19" s="108">
        <v>554000.72</v>
      </c>
      <c r="CP19" s="107">
        <v>563452</v>
      </c>
      <c r="CQ19" s="108">
        <v>501902.17</v>
      </c>
      <c r="CR19" s="108">
        <v>496005.66</v>
      </c>
      <c r="CS19" s="108">
        <v>565836.42000000004</v>
      </c>
      <c r="CT19" s="107">
        <v>0</v>
      </c>
      <c r="CU19" s="107">
        <v>0</v>
      </c>
      <c r="CV19" s="107">
        <v>0</v>
      </c>
      <c r="CW19" s="107">
        <v>0</v>
      </c>
      <c r="CX19" s="107">
        <v>0</v>
      </c>
      <c r="CY19" s="107">
        <v>0</v>
      </c>
    </row>
    <row r="20" spans="1:103" x14ac:dyDescent="0.15">
      <c r="A20" s="109" t="s">
        <v>355</v>
      </c>
      <c r="B20" s="106" t="s">
        <v>24</v>
      </c>
      <c r="C20" s="108">
        <v>63.19</v>
      </c>
      <c r="D20" s="106" t="s">
        <v>24</v>
      </c>
      <c r="E20" s="106" t="s">
        <v>24</v>
      </c>
      <c r="F20" s="108">
        <v>-5.14</v>
      </c>
      <c r="G20" s="108">
        <v>79.22</v>
      </c>
      <c r="H20" s="106" t="s">
        <v>24</v>
      </c>
      <c r="I20" s="108">
        <v>1.53</v>
      </c>
      <c r="J20" s="108">
        <v>1.56</v>
      </c>
      <c r="K20" s="108">
        <v>1.62</v>
      </c>
      <c r="L20" s="108">
        <v>1.69</v>
      </c>
      <c r="M20" s="108">
        <v>1.4</v>
      </c>
      <c r="N20" s="106" t="s">
        <v>24</v>
      </c>
      <c r="O20" s="108">
        <v>1.21</v>
      </c>
      <c r="P20" s="108">
        <v>-16.559999999999999</v>
      </c>
      <c r="Q20" s="108">
        <v>-7.2</v>
      </c>
      <c r="R20" s="108">
        <v>7.3</v>
      </c>
      <c r="S20" s="108">
        <v>6.97</v>
      </c>
      <c r="T20" s="106" t="s">
        <v>24</v>
      </c>
      <c r="U20" s="108">
        <v>11.52</v>
      </c>
      <c r="V20" s="108">
        <v>-3.92</v>
      </c>
      <c r="W20" s="108">
        <v>5.74</v>
      </c>
      <c r="X20" s="108">
        <v>16.89</v>
      </c>
      <c r="Y20" s="108">
        <v>11.33</v>
      </c>
      <c r="Z20" s="106" t="s">
        <v>24</v>
      </c>
      <c r="AA20" s="108">
        <v>22.51</v>
      </c>
      <c r="AB20" s="108">
        <v>21.12</v>
      </c>
      <c r="AC20" s="108">
        <v>11.76</v>
      </c>
      <c r="AD20" s="108">
        <v>26.22</v>
      </c>
      <c r="AE20" s="108">
        <v>25.11</v>
      </c>
      <c r="AF20" s="106" t="s">
        <v>24</v>
      </c>
      <c r="AG20" s="108">
        <v>0.75</v>
      </c>
      <c r="AH20" s="106" t="s">
        <v>24</v>
      </c>
      <c r="AI20" s="106" t="s">
        <v>24</v>
      </c>
      <c r="AJ20" s="108">
        <v>2.8</v>
      </c>
      <c r="AK20" s="108">
        <v>3.36</v>
      </c>
      <c r="AL20" s="106" t="s">
        <v>24</v>
      </c>
      <c r="AM20" s="108">
        <v>4.42</v>
      </c>
      <c r="AN20" s="108">
        <v>4.66</v>
      </c>
      <c r="AO20" s="108">
        <v>4.87</v>
      </c>
      <c r="AP20" s="108">
        <v>4.07</v>
      </c>
      <c r="AQ20" s="108">
        <v>4.37</v>
      </c>
      <c r="AR20" s="106" t="s">
        <v>24</v>
      </c>
      <c r="AS20" s="108">
        <v>2.02</v>
      </c>
      <c r="AT20" s="108">
        <v>2.3199999999999998</v>
      </c>
      <c r="AU20" s="108">
        <v>2.34</v>
      </c>
      <c r="AV20" s="108">
        <v>2.36</v>
      </c>
      <c r="AW20" s="108">
        <v>1.95</v>
      </c>
      <c r="AX20" s="106" t="s">
        <v>24</v>
      </c>
      <c r="AY20" s="108">
        <v>-5.23</v>
      </c>
      <c r="AZ20" s="108">
        <v>-18.38</v>
      </c>
      <c r="BA20" s="108">
        <v>-4.74</v>
      </c>
      <c r="BB20" s="108">
        <v>7.14</v>
      </c>
      <c r="BC20" s="108">
        <v>-5.22</v>
      </c>
      <c r="BD20" s="106" t="s">
        <v>24</v>
      </c>
      <c r="BE20" s="108">
        <v>3.31</v>
      </c>
      <c r="BF20" s="108">
        <v>-14.25</v>
      </c>
      <c r="BG20" s="108">
        <v>-3.21</v>
      </c>
      <c r="BH20" s="108">
        <v>11.36</v>
      </c>
      <c r="BI20" s="108">
        <v>9.92</v>
      </c>
      <c r="BJ20" s="106" t="s">
        <v>24</v>
      </c>
      <c r="BK20" s="108">
        <v>1.34</v>
      </c>
      <c r="BL20" s="108">
        <v>1.28</v>
      </c>
      <c r="BM20" s="108">
        <v>1.34</v>
      </c>
      <c r="BN20" s="108">
        <v>1.42</v>
      </c>
      <c r="BO20" s="108">
        <v>1.2</v>
      </c>
      <c r="BP20" s="106" t="s">
        <v>24</v>
      </c>
      <c r="BQ20" s="108">
        <v>-1.73</v>
      </c>
      <c r="BR20" s="108">
        <v>-6.51</v>
      </c>
      <c r="BS20" s="108">
        <v>-1.56</v>
      </c>
      <c r="BT20" s="108">
        <v>2.0499999999999998</v>
      </c>
      <c r="BU20" s="108">
        <v>-1.07</v>
      </c>
      <c r="BV20" s="106" t="s">
        <v>24</v>
      </c>
      <c r="BW20" s="108">
        <v>-16.79</v>
      </c>
      <c r="BX20" s="108">
        <v>-46.94</v>
      </c>
      <c r="BY20" s="108">
        <v>-8.26</v>
      </c>
      <c r="BZ20" s="108">
        <v>10.119999999999999</v>
      </c>
      <c r="CA20" s="108">
        <v>-5.41</v>
      </c>
      <c r="CB20" s="106" t="s">
        <v>24</v>
      </c>
      <c r="CC20" s="108">
        <v>2.46</v>
      </c>
      <c r="CD20" s="108">
        <v>-10.32</v>
      </c>
      <c r="CE20" s="108">
        <v>-1.92</v>
      </c>
      <c r="CF20" s="108">
        <v>5.55</v>
      </c>
      <c r="CG20" s="108">
        <v>3.36</v>
      </c>
      <c r="CH20" s="106" t="s">
        <v>24</v>
      </c>
      <c r="CI20" s="108">
        <v>0.33</v>
      </c>
      <c r="CJ20" s="108">
        <v>0.35</v>
      </c>
      <c r="CK20" s="108">
        <v>0.33</v>
      </c>
      <c r="CL20" s="108">
        <v>0.28999999999999998</v>
      </c>
      <c r="CM20" s="108">
        <v>0.21</v>
      </c>
      <c r="CN20" s="106" t="s">
        <v>24</v>
      </c>
      <c r="CO20" s="107">
        <v>464459</v>
      </c>
      <c r="CP20" s="107">
        <v>429735</v>
      </c>
      <c r="CQ20" s="107">
        <v>390070</v>
      </c>
      <c r="CR20" s="107">
        <v>418153</v>
      </c>
      <c r="CS20" s="107">
        <v>352511</v>
      </c>
      <c r="CT20" s="106" t="s">
        <v>24</v>
      </c>
      <c r="CU20" s="108">
        <v>3.15</v>
      </c>
      <c r="CV20" s="108">
        <v>3.49</v>
      </c>
      <c r="CW20" s="108">
        <v>2.06</v>
      </c>
      <c r="CX20" s="108">
        <v>1.79</v>
      </c>
      <c r="CY20" s="108">
        <v>1.99</v>
      </c>
    </row>
    <row r="21" spans="1:103" x14ac:dyDescent="0.15">
      <c r="A21" s="109" t="s">
        <v>354</v>
      </c>
      <c r="B21" s="106" t="s">
        <v>24</v>
      </c>
      <c r="C21" s="108">
        <v>23.77</v>
      </c>
      <c r="D21" s="108">
        <v>16.86</v>
      </c>
      <c r="E21" s="108">
        <v>-64.34</v>
      </c>
      <c r="F21" s="108">
        <v>31.4</v>
      </c>
      <c r="G21" s="106" t="s">
        <v>24</v>
      </c>
      <c r="H21" s="106" t="s">
        <v>24</v>
      </c>
      <c r="I21" s="108">
        <v>1.6</v>
      </c>
      <c r="J21" s="108">
        <v>1.89</v>
      </c>
      <c r="K21" s="108">
        <v>1.98</v>
      </c>
      <c r="L21" s="108">
        <v>2.29</v>
      </c>
      <c r="M21" s="108">
        <v>2.57</v>
      </c>
      <c r="N21" s="106" t="s">
        <v>24</v>
      </c>
      <c r="O21" s="108">
        <v>14.15</v>
      </c>
      <c r="P21" s="108">
        <v>11.46</v>
      </c>
      <c r="Q21" s="108">
        <v>7.18</v>
      </c>
      <c r="R21" s="108">
        <v>10.42</v>
      </c>
      <c r="S21" s="108">
        <v>-4.6500000000000004</v>
      </c>
      <c r="T21" s="106" t="s">
        <v>24</v>
      </c>
      <c r="U21" s="108">
        <v>18.79</v>
      </c>
      <c r="V21" s="108">
        <v>16.53</v>
      </c>
      <c r="W21" s="108">
        <v>12.23</v>
      </c>
      <c r="X21" s="108">
        <v>15.4</v>
      </c>
      <c r="Y21" s="108">
        <v>0.28999999999999998</v>
      </c>
      <c r="Z21" s="106" t="s">
        <v>24</v>
      </c>
      <c r="AA21" s="107">
        <v>31</v>
      </c>
      <c r="AB21" s="108">
        <v>37.409999999999997</v>
      </c>
      <c r="AC21" s="108">
        <v>47.53</v>
      </c>
      <c r="AD21" s="108">
        <v>52.42</v>
      </c>
      <c r="AE21" s="108">
        <v>53.36</v>
      </c>
      <c r="AF21" s="106" t="s">
        <v>24</v>
      </c>
      <c r="AG21" s="108">
        <v>6.12</v>
      </c>
      <c r="AH21" s="108">
        <v>7.56</v>
      </c>
      <c r="AI21" s="108">
        <v>7.66</v>
      </c>
      <c r="AJ21" s="108">
        <v>9.4</v>
      </c>
      <c r="AK21" s="106" t="s">
        <v>24</v>
      </c>
      <c r="AL21" s="106" t="s">
        <v>24</v>
      </c>
      <c r="AM21" s="108">
        <v>22.68</v>
      </c>
      <c r="AN21" s="108">
        <v>25.94</v>
      </c>
      <c r="AO21" s="108">
        <v>28.5</v>
      </c>
      <c r="AP21" s="108">
        <v>35.31</v>
      </c>
      <c r="AQ21" s="108">
        <v>55.61</v>
      </c>
      <c r="AR21" s="106" t="s">
        <v>24</v>
      </c>
      <c r="AS21" s="108">
        <v>8.65</v>
      </c>
      <c r="AT21" s="108">
        <v>9.76</v>
      </c>
      <c r="AU21" s="108">
        <v>10.51</v>
      </c>
      <c r="AV21" s="108">
        <v>10.65</v>
      </c>
      <c r="AW21" s="108">
        <v>4.74</v>
      </c>
      <c r="AX21" s="106" t="s">
        <v>24</v>
      </c>
      <c r="AY21" s="108">
        <v>11.18</v>
      </c>
      <c r="AZ21" s="108">
        <v>10.06</v>
      </c>
      <c r="BA21" s="108">
        <v>11.65</v>
      </c>
      <c r="BB21" s="108">
        <v>6.79</v>
      </c>
      <c r="BC21" s="108">
        <v>-3.89</v>
      </c>
      <c r="BD21" s="106" t="s">
        <v>24</v>
      </c>
      <c r="BE21" s="108">
        <v>4.93</v>
      </c>
      <c r="BF21" s="108">
        <v>9.1300000000000008</v>
      </c>
      <c r="BG21" s="108">
        <v>8.07</v>
      </c>
      <c r="BH21" s="108">
        <v>12.23</v>
      </c>
      <c r="BI21" s="108">
        <v>-3.13</v>
      </c>
      <c r="BJ21" s="106" t="s">
        <v>24</v>
      </c>
      <c r="BK21" s="108">
        <v>1.37</v>
      </c>
      <c r="BL21" s="108">
        <v>1.66</v>
      </c>
      <c r="BM21" s="108">
        <v>1.78</v>
      </c>
      <c r="BN21" s="108">
        <v>2.09</v>
      </c>
      <c r="BO21" s="108">
        <v>2.35</v>
      </c>
      <c r="BP21" s="106" t="s">
        <v>24</v>
      </c>
      <c r="BQ21" s="108">
        <v>6.13</v>
      </c>
      <c r="BR21" s="108">
        <v>5.59</v>
      </c>
      <c r="BS21" s="108">
        <v>6.45</v>
      </c>
      <c r="BT21" s="108">
        <v>3.83</v>
      </c>
      <c r="BU21" s="108">
        <v>-1.99</v>
      </c>
      <c r="BV21" s="106" t="s">
        <v>24</v>
      </c>
      <c r="BW21" s="108">
        <v>10.51</v>
      </c>
      <c r="BX21" s="108">
        <v>9.3000000000000007</v>
      </c>
      <c r="BY21" s="108">
        <v>11.25</v>
      </c>
      <c r="BZ21" s="108">
        <v>6.8</v>
      </c>
      <c r="CA21" s="108">
        <v>-3.57</v>
      </c>
      <c r="CB21" s="106" t="s">
        <v>24</v>
      </c>
      <c r="CC21" s="107">
        <v>4</v>
      </c>
      <c r="CD21" s="108">
        <v>7.24</v>
      </c>
      <c r="CE21" s="108">
        <v>6.58</v>
      </c>
      <c r="CF21" s="108">
        <v>10.37</v>
      </c>
      <c r="CG21" s="108">
        <v>-2.4900000000000002</v>
      </c>
      <c r="CH21" s="106" t="s">
        <v>24</v>
      </c>
      <c r="CI21" s="108">
        <v>0.55000000000000004</v>
      </c>
      <c r="CJ21" s="108">
        <v>0.56000000000000005</v>
      </c>
      <c r="CK21" s="108">
        <v>0.55000000000000004</v>
      </c>
      <c r="CL21" s="108">
        <v>0.56000000000000005</v>
      </c>
      <c r="CM21" s="108">
        <v>0.51</v>
      </c>
      <c r="CN21" s="106" t="s">
        <v>24</v>
      </c>
      <c r="CO21" s="107">
        <v>243267</v>
      </c>
      <c r="CP21" s="107">
        <v>242880</v>
      </c>
      <c r="CQ21" s="107">
        <v>217802</v>
      </c>
      <c r="CR21" s="107">
        <v>219036</v>
      </c>
      <c r="CS21" s="107">
        <v>224879</v>
      </c>
      <c r="CT21" s="106" t="s">
        <v>24</v>
      </c>
      <c r="CU21" s="108">
        <v>0.15</v>
      </c>
      <c r="CV21" s="108">
        <v>0.16</v>
      </c>
      <c r="CW21" s="108">
        <v>0.17</v>
      </c>
      <c r="CX21" s="108">
        <v>0.2</v>
      </c>
      <c r="CY21" s="108">
        <v>0.16</v>
      </c>
    </row>
    <row r="22" spans="1:103" x14ac:dyDescent="0.15">
      <c r="A22" s="109" t="s">
        <v>353</v>
      </c>
      <c r="B22" s="106" t="s">
        <v>24</v>
      </c>
      <c r="C22" s="106" t="s">
        <v>24</v>
      </c>
      <c r="D22" s="106" t="s">
        <v>24</v>
      </c>
      <c r="E22" s="106" t="s">
        <v>24</v>
      </c>
      <c r="F22" s="106" t="s">
        <v>24</v>
      </c>
      <c r="G22" s="106" t="s">
        <v>24</v>
      </c>
      <c r="H22" s="106" t="s">
        <v>24</v>
      </c>
      <c r="I22" s="106" t="s">
        <v>24</v>
      </c>
      <c r="J22" s="106" t="s">
        <v>24</v>
      </c>
      <c r="K22" s="106" t="s">
        <v>24</v>
      </c>
      <c r="L22" s="106" t="s">
        <v>24</v>
      </c>
      <c r="M22" s="106" t="s">
        <v>24</v>
      </c>
      <c r="N22" s="106" t="s">
        <v>24</v>
      </c>
      <c r="O22" s="106" t="s">
        <v>24</v>
      </c>
      <c r="P22" s="106" t="s">
        <v>24</v>
      </c>
      <c r="Q22" s="106" t="s">
        <v>24</v>
      </c>
      <c r="R22" s="106" t="s">
        <v>24</v>
      </c>
      <c r="S22" s="106" t="s">
        <v>24</v>
      </c>
      <c r="T22" s="106" t="s">
        <v>24</v>
      </c>
      <c r="U22" s="106" t="s">
        <v>24</v>
      </c>
      <c r="V22" s="106" t="s">
        <v>24</v>
      </c>
      <c r="W22" s="106" t="s">
        <v>24</v>
      </c>
      <c r="X22" s="106" t="s">
        <v>24</v>
      </c>
      <c r="Y22" s="106" t="s">
        <v>24</v>
      </c>
      <c r="Z22" s="106" t="s">
        <v>24</v>
      </c>
      <c r="AA22" s="106" t="s">
        <v>24</v>
      </c>
      <c r="AB22" s="106" t="s">
        <v>24</v>
      </c>
      <c r="AC22" s="106" t="s">
        <v>24</v>
      </c>
      <c r="AD22" s="106" t="s">
        <v>24</v>
      </c>
      <c r="AE22" s="106" t="s">
        <v>24</v>
      </c>
      <c r="AF22" s="106" t="s">
        <v>24</v>
      </c>
      <c r="AG22" s="106" t="s">
        <v>24</v>
      </c>
      <c r="AH22" s="106" t="s">
        <v>24</v>
      </c>
      <c r="AI22" s="106" t="s">
        <v>24</v>
      </c>
      <c r="AJ22" s="106" t="s">
        <v>24</v>
      </c>
      <c r="AK22" s="106" t="s">
        <v>24</v>
      </c>
      <c r="AL22" s="106" t="s">
        <v>24</v>
      </c>
      <c r="AM22" s="106" t="s">
        <v>24</v>
      </c>
      <c r="AN22" s="106" t="s">
        <v>24</v>
      </c>
      <c r="AO22" s="106" t="s">
        <v>24</v>
      </c>
      <c r="AP22" s="106" t="s">
        <v>24</v>
      </c>
      <c r="AQ22" s="106" t="s">
        <v>24</v>
      </c>
      <c r="AR22" s="106" t="s">
        <v>24</v>
      </c>
      <c r="AS22" s="106" t="s">
        <v>24</v>
      </c>
      <c r="AT22" s="106" t="s">
        <v>24</v>
      </c>
      <c r="AU22" s="106" t="s">
        <v>24</v>
      </c>
      <c r="AV22" s="106" t="s">
        <v>24</v>
      </c>
      <c r="AW22" s="106" t="s">
        <v>24</v>
      </c>
      <c r="AX22" s="106" t="s">
        <v>24</v>
      </c>
      <c r="AY22" s="106" t="s">
        <v>24</v>
      </c>
      <c r="AZ22" s="106" t="s">
        <v>24</v>
      </c>
      <c r="BA22" s="106" t="s">
        <v>24</v>
      </c>
      <c r="BB22" s="106" t="s">
        <v>24</v>
      </c>
      <c r="BC22" s="106" t="s">
        <v>24</v>
      </c>
      <c r="BD22" s="106" t="s">
        <v>24</v>
      </c>
      <c r="BE22" s="106" t="s">
        <v>24</v>
      </c>
      <c r="BF22" s="106" t="s">
        <v>24</v>
      </c>
      <c r="BG22" s="106" t="s">
        <v>24</v>
      </c>
      <c r="BH22" s="106" t="s">
        <v>24</v>
      </c>
      <c r="BI22" s="106" t="s">
        <v>24</v>
      </c>
      <c r="BJ22" s="106" t="s">
        <v>24</v>
      </c>
      <c r="BK22" s="106" t="s">
        <v>24</v>
      </c>
      <c r="BL22" s="106" t="s">
        <v>24</v>
      </c>
      <c r="BM22" s="106" t="s">
        <v>24</v>
      </c>
      <c r="BN22" s="106" t="s">
        <v>24</v>
      </c>
      <c r="BO22" s="106" t="s">
        <v>24</v>
      </c>
      <c r="BP22" s="106" t="s">
        <v>24</v>
      </c>
      <c r="BQ22" s="106" t="s">
        <v>24</v>
      </c>
      <c r="BR22" s="106" t="s">
        <v>24</v>
      </c>
      <c r="BS22" s="106" t="s">
        <v>24</v>
      </c>
      <c r="BT22" s="106" t="s">
        <v>24</v>
      </c>
      <c r="BU22" s="106" t="s">
        <v>24</v>
      </c>
      <c r="BV22" s="106" t="s">
        <v>24</v>
      </c>
      <c r="BW22" s="106" t="s">
        <v>24</v>
      </c>
      <c r="BX22" s="106" t="s">
        <v>24</v>
      </c>
      <c r="BY22" s="106" t="s">
        <v>24</v>
      </c>
      <c r="BZ22" s="106" t="s">
        <v>24</v>
      </c>
      <c r="CA22" s="106" t="s">
        <v>24</v>
      </c>
      <c r="CB22" s="106" t="s">
        <v>24</v>
      </c>
      <c r="CC22" s="106" t="s">
        <v>24</v>
      </c>
      <c r="CD22" s="106" t="s">
        <v>24</v>
      </c>
      <c r="CE22" s="106" t="s">
        <v>24</v>
      </c>
      <c r="CF22" s="106" t="s">
        <v>24</v>
      </c>
      <c r="CG22" s="106" t="s">
        <v>24</v>
      </c>
      <c r="CH22" s="106" t="s">
        <v>24</v>
      </c>
      <c r="CI22" s="106" t="s">
        <v>24</v>
      </c>
      <c r="CJ22" s="106" t="s">
        <v>24</v>
      </c>
      <c r="CK22" s="106" t="s">
        <v>24</v>
      </c>
      <c r="CL22" s="106" t="s">
        <v>24</v>
      </c>
      <c r="CM22" s="106" t="s">
        <v>24</v>
      </c>
      <c r="CN22" s="106" t="s">
        <v>24</v>
      </c>
      <c r="CO22" s="106" t="s">
        <v>24</v>
      </c>
      <c r="CP22" s="106" t="s">
        <v>24</v>
      </c>
      <c r="CQ22" s="106" t="s">
        <v>24</v>
      </c>
      <c r="CR22" s="106" t="s">
        <v>24</v>
      </c>
      <c r="CS22" s="106" t="s">
        <v>24</v>
      </c>
      <c r="CT22" s="106" t="s">
        <v>24</v>
      </c>
      <c r="CU22" s="106" t="s">
        <v>24</v>
      </c>
      <c r="CV22" s="106" t="s">
        <v>24</v>
      </c>
      <c r="CW22" s="106" t="s">
        <v>24</v>
      </c>
      <c r="CX22" s="106" t="s">
        <v>24</v>
      </c>
      <c r="CY22" s="106" t="s">
        <v>24</v>
      </c>
    </row>
    <row r="23" spans="1:103" x14ac:dyDescent="0.15">
      <c r="A23" s="109" t="s">
        <v>352</v>
      </c>
      <c r="B23" s="106" t="s">
        <v>24</v>
      </c>
      <c r="C23" s="108">
        <v>29.8</v>
      </c>
      <c r="D23" s="108">
        <v>26.72</v>
      </c>
      <c r="E23" s="108">
        <v>-35.53</v>
      </c>
      <c r="F23" s="108">
        <v>41.08</v>
      </c>
      <c r="G23" s="108">
        <v>40.229999999999997</v>
      </c>
      <c r="H23" s="106" t="s">
        <v>24</v>
      </c>
      <c r="I23" s="108">
        <v>2.73</v>
      </c>
      <c r="J23" s="108">
        <v>5.8</v>
      </c>
      <c r="K23" s="108">
        <v>5.08</v>
      </c>
      <c r="L23" s="108">
        <v>4.49</v>
      </c>
      <c r="M23" s="108">
        <v>3.26</v>
      </c>
      <c r="N23" s="106" t="s">
        <v>24</v>
      </c>
      <c r="O23" s="108">
        <v>12.02</v>
      </c>
      <c r="P23" s="108">
        <v>26.53</v>
      </c>
      <c r="Q23" s="108">
        <v>21.9</v>
      </c>
      <c r="R23" s="108">
        <v>13.01</v>
      </c>
      <c r="S23" s="108">
        <v>11.01</v>
      </c>
      <c r="T23" s="106" t="s">
        <v>24</v>
      </c>
      <c r="U23" s="108">
        <v>33.74</v>
      </c>
      <c r="V23" s="108">
        <v>45.21</v>
      </c>
      <c r="W23" s="108">
        <v>43.8</v>
      </c>
      <c r="X23" s="108">
        <v>35.01</v>
      </c>
      <c r="Y23" s="108">
        <v>34.119999999999997</v>
      </c>
      <c r="Z23" s="106" t="s">
        <v>24</v>
      </c>
      <c r="AA23" s="108">
        <v>34.07</v>
      </c>
      <c r="AB23" s="108">
        <v>44.99</v>
      </c>
      <c r="AC23" s="108">
        <v>36.89</v>
      </c>
      <c r="AD23" s="108">
        <v>41.52</v>
      </c>
      <c r="AE23" s="108">
        <v>37.36</v>
      </c>
      <c r="AF23" s="106" t="s">
        <v>24</v>
      </c>
      <c r="AG23" s="108">
        <v>1.87</v>
      </c>
      <c r="AH23" s="108">
        <v>3.49</v>
      </c>
      <c r="AI23" s="108">
        <v>2.2799999999999998</v>
      </c>
      <c r="AJ23" s="108">
        <v>2.41</v>
      </c>
      <c r="AK23" s="108">
        <v>1.88</v>
      </c>
      <c r="AL23" s="106" t="s">
        <v>24</v>
      </c>
      <c r="AM23" s="106" t="s">
        <v>24</v>
      </c>
      <c r="AN23" s="106" t="s">
        <v>24</v>
      </c>
      <c r="AO23" s="106" t="s">
        <v>24</v>
      </c>
      <c r="AP23" s="106" t="s">
        <v>24</v>
      </c>
      <c r="AQ23" s="106" t="s">
        <v>24</v>
      </c>
      <c r="AR23" s="106" t="s">
        <v>24</v>
      </c>
      <c r="AS23" s="108">
        <v>3.9</v>
      </c>
      <c r="AT23" s="108">
        <v>3.04</v>
      </c>
      <c r="AU23" s="108">
        <v>2.61</v>
      </c>
      <c r="AV23" s="108">
        <v>2.89</v>
      </c>
      <c r="AW23" s="108">
        <v>2.62</v>
      </c>
      <c r="AX23" s="106" t="s">
        <v>24</v>
      </c>
      <c r="AY23" s="108">
        <v>8.44</v>
      </c>
      <c r="AZ23" s="108">
        <v>19.440000000000001</v>
      </c>
      <c r="BA23" s="108">
        <v>29.68</v>
      </c>
      <c r="BB23" s="108">
        <v>7.66</v>
      </c>
      <c r="BC23" s="108">
        <v>6.58</v>
      </c>
      <c r="BD23" s="106" t="s">
        <v>24</v>
      </c>
      <c r="BE23" s="108">
        <v>19.98</v>
      </c>
      <c r="BF23" s="108">
        <v>34.35</v>
      </c>
      <c r="BG23" s="108">
        <v>24.59</v>
      </c>
      <c r="BH23" s="108">
        <v>28.86</v>
      </c>
      <c r="BI23" s="108">
        <v>23.46</v>
      </c>
      <c r="BJ23" s="106" t="s">
        <v>24</v>
      </c>
      <c r="BK23" s="108">
        <v>2.5</v>
      </c>
      <c r="BL23" s="108">
        <v>5.6</v>
      </c>
      <c r="BM23" s="108">
        <v>4.7699999999999996</v>
      </c>
      <c r="BN23" s="108">
        <v>3.89</v>
      </c>
      <c r="BO23" s="108">
        <v>2.41</v>
      </c>
      <c r="BP23" s="106" t="s">
        <v>24</v>
      </c>
      <c r="BQ23" s="108">
        <v>3.2</v>
      </c>
      <c r="BR23" s="108">
        <v>5.64</v>
      </c>
      <c r="BS23" s="108">
        <v>8.67</v>
      </c>
      <c r="BT23" s="108">
        <v>2.52</v>
      </c>
      <c r="BU23" s="108">
        <v>1.96</v>
      </c>
      <c r="BV23" s="106" t="s">
        <v>24</v>
      </c>
      <c r="BW23" s="108">
        <v>10.84</v>
      </c>
      <c r="BX23" s="108">
        <v>19.34</v>
      </c>
      <c r="BY23" s="108">
        <v>35.26</v>
      </c>
      <c r="BZ23" s="108">
        <v>13.47</v>
      </c>
      <c r="CA23" s="108">
        <v>12.18</v>
      </c>
      <c r="CB23" s="106" t="s">
        <v>24</v>
      </c>
      <c r="CC23" s="108">
        <v>8.8800000000000008</v>
      </c>
      <c r="CD23" s="108">
        <v>11.34</v>
      </c>
      <c r="CE23" s="108">
        <v>8.5399999999999991</v>
      </c>
      <c r="CF23" s="108">
        <v>11.95</v>
      </c>
      <c r="CG23" s="108">
        <v>8.99</v>
      </c>
      <c r="CH23" s="106" t="s">
        <v>24</v>
      </c>
      <c r="CI23" s="108">
        <v>0.38</v>
      </c>
      <c r="CJ23" s="108">
        <v>0.28999999999999998</v>
      </c>
      <c r="CK23" s="108">
        <v>0.28999999999999998</v>
      </c>
      <c r="CL23" s="108">
        <v>0.33</v>
      </c>
      <c r="CM23" s="108">
        <v>0.3</v>
      </c>
      <c r="CN23" s="106" t="s">
        <v>24</v>
      </c>
      <c r="CO23" s="107">
        <v>264655</v>
      </c>
      <c r="CP23" s="107">
        <v>127201</v>
      </c>
      <c r="CQ23" s="107">
        <v>224156</v>
      </c>
      <c r="CR23" s="107">
        <v>202764</v>
      </c>
      <c r="CS23" s="107">
        <v>156417</v>
      </c>
      <c r="CT23" s="106" t="s">
        <v>24</v>
      </c>
      <c r="CU23" s="108">
        <v>1.75</v>
      </c>
      <c r="CV23" s="108">
        <v>2.15</v>
      </c>
      <c r="CW23" s="108">
        <v>1.85</v>
      </c>
      <c r="CX23" s="108">
        <v>3.56</v>
      </c>
      <c r="CY23" s="108">
        <v>2.88</v>
      </c>
    </row>
    <row r="24" spans="1:103" x14ac:dyDescent="0.15">
      <c r="A24" s="109" t="s">
        <v>351</v>
      </c>
      <c r="B24" s="107">
        <v>38</v>
      </c>
      <c r="C24" s="108">
        <v>34.92</v>
      </c>
      <c r="D24" s="108">
        <v>29.23</v>
      </c>
      <c r="E24" s="108">
        <v>30.16</v>
      </c>
      <c r="F24" s="108">
        <v>33.020000000000003</v>
      </c>
      <c r="G24" s="108">
        <v>10.17</v>
      </c>
      <c r="H24" s="108">
        <v>1.97</v>
      </c>
      <c r="I24" s="108">
        <v>1.81</v>
      </c>
      <c r="J24" s="108">
        <v>1.76</v>
      </c>
      <c r="K24" s="108">
        <v>1.94</v>
      </c>
      <c r="L24" s="108">
        <v>2.06</v>
      </c>
      <c r="M24" s="108">
        <v>1.95</v>
      </c>
      <c r="N24" s="108">
        <v>0.01</v>
      </c>
      <c r="O24" s="108">
        <v>0.02</v>
      </c>
      <c r="P24" s="108">
        <v>0.03</v>
      </c>
      <c r="Q24" s="108">
        <v>0.02</v>
      </c>
      <c r="R24" s="108">
        <v>0.02</v>
      </c>
      <c r="S24" s="108">
        <v>0.02</v>
      </c>
      <c r="T24" s="108">
        <v>0.73</v>
      </c>
      <c r="U24" s="108">
        <v>1.65</v>
      </c>
      <c r="V24" s="108">
        <v>2.92</v>
      </c>
      <c r="W24" s="108">
        <v>1.66</v>
      </c>
      <c r="X24" s="108">
        <v>1.7</v>
      </c>
      <c r="Y24" s="108">
        <v>1.9</v>
      </c>
      <c r="Z24" s="108">
        <v>10.09</v>
      </c>
      <c r="AA24" s="108">
        <v>10.48</v>
      </c>
      <c r="AB24" s="108">
        <v>11.58</v>
      </c>
      <c r="AC24" s="108">
        <v>12.62</v>
      </c>
      <c r="AD24" s="108">
        <v>11.75</v>
      </c>
      <c r="AE24" s="108">
        <v>12.04</v>
      </c>
      <c r="AF24" s="106" t="s">
        <v>24</v>
      </c>
      <c r="AG24" s="107"/>
      <c r="AH24" s="106" t="s">
        <v>24</v>
      </c>
      <c r="AI24" s="106" t="s">
        <v>24</v>
      </c>
      <c r="AJ24" s="106" t="s">
        <v>24</v>
      </c>
      <c r="AK24" s="106" t="s">
        <v>24</v>
      </c>
      <c r="AL24" s="108">
        <v>30.93</v>
      </c>
      <c r="AM24" s="108">
        <v>28.52</v>
      </c>
      <c r="AN24" s="108">
        <v>24.39</v>
      </c>
      <c r="AO24" s="108">
        <v>24.64</v>
      </c>
      <c r="AP24" s="108">
        <v>25.85</v>
      </c>
      <c r="AQ24" s="108">
        <v>27.01</v>
      </c>
      <c r="AR24" s="108">
        <v>286.76</v>
      </c>
      <c r="AS24" s="108">
        <v>306.63</v>
      </c>
      <c r="AT24" s="108">
        <v>257.47000000000003</v>
      </c>
      <c r="AU24" s="108">
        <v>227.53</v>
      </c>
      <c r="AV24" s="108">
        <v>259.20999999999998</v>
      </c>
      <c r="AW24" s="108">
        <v>214.02</v>
      </c>
      <c r="AX24" s="108">
        <v>0.52</v>
      </c>
      <c r="AY24" s="108">
        <v>1.1399999999999999</v>
      </c>
      <c r="AZ24" s="108">
        <v>2.04</v>
      </c>
      <c r="BA24" s="108">
        <v>1.17</v>
      </c>
      <c r="BB24" s="108">
        <v>1.26</v>
      </c>
      <c r="BC24" s="108">
        <v>1.86</v>
      </c>
      <c r="BD24" s="108">
        <v>0.01</v>
      </c>
      <c r="BE24" s="108">
        <v>0.02</v>
      </c>
      <c r="BF24" s="108">
        <v>0.02</v>
      </c>
      <c r="BG24" s="108">
        <v>0.02</v>
      </c>
      <c r="BH24" s="108">
        <v>0.02</v>
      </c>
      <c r="BI24" s="108">
        <v>0.02</v>
      </c>
      <c r="BJ24" s="108">
        <v>1.59</v>
      </c>
      <c r="BK24" s="108">
        <v>1.49</v>
      </c>
      <c r="BL24" s="108">
        <v>1.41</v>
      </c>
      <c r="BM24" s="108">
        <v>1.58</v>
      </c>
      <c r="BN24" s="108">
        <v>1.57</v>
      </c>
      <c r="BO24" s="108">
        <v>1.54</v>
      </c>
      <c r="BP24" s="108">
        <v>1.68</v>
      </c>
      <c r="BQ24" s="108">
        <v>3.64</v>
      </c>
      <c r="BR24" s="108">
        <v>5.9</v>
      </c>
      <c r="BS24" s="108">
        <v>3.45</v>
      </c>
      <c r="BT24" s="108">
        <v>4.03</v>
      </c>
      <c r="BU24" s="108">
        <v>7.12</v>
      </c>
      <c r="BV24" s="108">
        <v>3.21</v>
      </c>
      <c r="BW24" s="108">
        <v>7.32</v>
      </c>
      <c r="BX24" s="108">
        <v>11.68</v>
      </c>
      <c r="BY24" s="108">
        <v>6.41</v>
      </c>
      <c r="BZ24" s="108">
        <v>7.72</v>
      </c>
      <c r="CA24" s="108">
        <v>14.7</v>
      </c>
      <c r="CB24" s="108">
        <v>0.06</v>
      </c>
      <c r="CC24" s="108">
        <v>0.11</v>
      </c>
      <c r="CD24" s="108">
        <v>0.13</v>
      </c>
      <c r="CE24" s="108">
        <v>0.1</v>
      </c>
      <c r="CF24" s="108">
        <v>0.1</v>
      </c>
      <c r="CG24" s="108">
        <v>0.15</v>
      </c>
      <c r="CH24" s="108">
        <v>3.19</v>
      </c>
      <c r="CI24" s="108">
        <v>3.2</v>
      </c>
      <c r="CJ24" s="108">
        <v>2.89</v>
      </c>
      <c r="CK24" s="108">
        <v>2.95</v>
      </c>
      <c r="CL24" s="108">
        <v>3.2</v>
      </c>
      <c r="CM24" s="108">
        <v>3.82</v>
      </c>
      <c r="CN24" s="108">
        <v>1553475.48</v>
      </c>
      <c r="CO24" s="108">
        <v>1512721.59</v>
      </c>
      <c r="CP24" s="108">
        <v>1337840.5900000001</v>
      </c>
      <c r="CQ24" s="108">
        <v>1234564.19</v>
      </c>
      <c r="CR24" s="108">
        <v>1246711.3</v>
      </c>
      <c r="CS24" s="108">
        <v>1299769.3799999999</v>
      </c>
      <c r="CT24" s="106" t="s">
        <v>24</v>
      </c>
      <c r="CU24" s="106" t="s">
        <v>24</v>
      </c>
      <c r="CV24" s="106" t="s">
        <v>24</v>
      </c>
      <c r="CW24" s="106" t="s">
        <v>24</v>
      </c>
      <c r="CX24" s="106" t="s">
        <v>24</v>
      </c>
      <c r="CY24" s="106" t="s">
        <v>24</v>
      </c>
    </row>
    <row r="25" spans="1:103" x14ac:dyDescent="0.15">
      <c r="A25" s="109" t="s">
        <v>350</v>
      </c>
      <c r="B25" s="106" t="s">
        <v>24</v>
      </c>
      <c r="C25" s="108">
        <v>140.29</v>
      </c>
      <c r="D25" s="106" t="s">
        <v>24</v>
      </c>
      <c r="E25" s="108">
        <v>354.95</v>
      </c>
      <c r="F25" s="108">
        <v>36.56</v>
      </c>
      <c r="G25" s="108">
        <v>39.69</v>
      </c>
      <c r="H25" s="106" t="s">
        <v>24</v>
      </c>
      <c r="I25" s="108">
        <v>4.26</v>
      </c>
      <c r="J25" s="108">
        <v>3.63</v>
      </c>
      <c r="K25" s="108">
        <v>5.27</v>
      </c>
      <c r="L25" s="108">
        <v>6.77</v>
      </c>
      <c r="M25" s="108">
        <v>5.44</v>
      </c>
      <c r="N25" s="106" t="s">
        <v>24</v>
      </c>
      <c r="O25" s="108">
        <v>5.77</v>
      </c>
      <c r="P25" s="108">
        <v>-0.36</v>
      </c>
      <c r="Q25" s="108">
        <v>4.2300000000000004</v>
      </c>
      <c r="R25" s="108">
        <v>20.48</v>
      </c>
      <c r="S25" s="108">
        <v>17.55</v>
      </c>
      <c r="T25" s="106" t="s">
        <v>24</v>
      </c>
      <c r="U25" s="108">
        <v>15.98</v>
      </c>
      <c r="V25" s="108">
        <v>9.7899999999999991</v>
      </c>
      <c r="W25" s="108">
        <v>15.33</v>
      </c>
      <c r="X25" s="108">
        <v>31.2</v>
      </c>
      <c r="Y25" s="108">
        <v>29.71</v>
      </c>
      <c r="Z25" s="106" t="s">
        <v>24</v>
      </c>
      <c r="AA25" s="108">
        <v>71.12</v>
      </c>
      <c r="AB25" s="108">
        <v>71.33</v>
      </c>
      <c r="AC25" s="108">
        <v>67.89</v>
      </c>
      <c r="AD25" s="108">
        <v>70.19</v>
      </c>
      <c r="AE25" s="108">
        <v>68.260000000000005</v>
      </c>
      <c r="AF25" s="106" t="s">
        <v>24</v>
      </c>
      <c r="AG25" s="108">
        <v>3.97</v>
      </c>
      <c r="AH25" s="108">
        <v>3.53</v>
      </c>
      <c r="AI25" s="108">
        <v>2.3199999999999998</v>
      </c>
      <c r="AJ25" s="108">
        <v>3.44</v>
      </c>
      <c r="AK25" s="108">
        <v>2.89</v>
      </c>
      <c r="AL25" s="106" t="s">
        <v>24</v>
      </c>
      <c r="AM25" s="106" t="s">
        <v>24</v>
      </c>
      <c r="AN25" s="106" t="s">
        <v>24</v>
      </c>
      <c r="AO25" s="106" t="s">
        <v>24</v>
      </c>
      <c r="AP25" s="106" t="s">
        <v>24</v>
      </c>
      <c r="AQ25" s="106" t="s">
        <v>24</v>
      </c>
      <c r="AR25" s="106" t="s">
        <v>24</v>
      </c>
      <c r="AS25" s="108">
        <v>4.49</v>
      </c>
      <c r="AT25" s="108">
        <v>5.19</v>
      </c>
      <c r="AU25" s="108">
        <v>4.99</v>
      </c>
      <c r="AV25" s="108">
        <v>5.43</v>
      </c>
      <c r="AW25" s="108">
        <v>5.27</v>
      </c>
      <c r="AX25" s="106" t="s">
        <v>24</v>
      </c>
      <c r="AY25" s="108">
        <v>-2.25</v>
      </c>
      <c r="AZ25" s="108">
        <v>-7.42</v>
      </c>
      <c r="BA25" s="108">
        <v>-10.8</v>
      </c>
      <c r="BB25" s="108">
        <v>12.99</v>
      </c>
      <c r="BC25" s="108">
        <v>10.59</v>
      </c>
      <c r="BD25" s="106" t="s">
        <v>24</v>
      </c>
      <c r="BE25" s="108">
        <v>31.8</v>
      </c>
      <c r="BF25" s="108">
        <v>29.14</v>
      </c>
      <c r="BG25" s="108">
        <v>20.350000000000001</v>
      </c>
      <c r="BH25" s="108">
        <v>28.9</v>
      </c>
      <c r="BI25" s="108">
        <v>26.89</v>
      </c>
      <c r="BJ25" s="106" t="s">
        <v>24</v>
      </c>
      <c r="BK25" s="108">
        <v>3.33</v>
      </c>
      <c r="BL25" s="108">
        <v>2.95</v>
      </c>
      <c r="BM25" s="108">
        <v>4.32</v>
      </c>
      <c r="BN25" s="108">
        <v>6.02</v>
      </c>
      <c r="BO25" s="108">
        <v>4.95</v>
      </c>
      <c r="BP25" s="106" t="s">
        <v>24</v>
      </c>
      <c r="BQ25" s="108">
        <v>-0.68</v>
      </c>
      <c r="BR25" s="108">
        <v>-2.1800000000000002</v>
      </c>
      <c r="BS25" s="108">
        <v>-2.61</v>
      </c>
      <c r="BT25" s="108">
        <v>3.32</v>
      </c>
      <c r="BU25" s="108">
        <v>2.57</v>
      </c>
      <c r="BV25" s="106" t="s">
        <v>24</v>
      </c>
      <c r="BW25" s="108">
        <v>-1.46</v>
      </c>
      <c r="BX25" s="108">
        <v>-4.63</v>
      </c>
      <c r="BY25" s="108">
        <v>-5.29</v>
      </c>
      <c r="BZ25" s="108">
        <v>6.55</v>
      </c>
      <c r="CA25" s="108">
        <v>5.14</v>
      </c>
      <c r="CB25" s="106" t="s">
        <v>24</v>
      </c>
      <c r="CC25" s="108">
        <v>10.9</v>
      </c>
      <c r="CD25" s="108">
        <v>9.69</v>
      </c>
      <c r="CE25" s="108">
        <v>5.47</v>
      </c>
      <c r="CF25" s="108">
        <v>8.16</v>
      </c>
      <c r="CG25" s="108">
        <v>7.15</v>
      </c>
      <c r="CH25" s="106" t="s">
        <v>24</v>
      </c>
      <c r="CI25" s="108">
        <v>0.3</v>
      </c>
      <c r="CJ25" s="108">
        <v>0.28999999999999998</v>
      </c>
      <c r="CK25" s="108">
        <v>0.24</v>
      </c>
      <c r="CL25" s="108">
        <v>0.26</v>
      </c>
      <c r="CM25" s="108">
        <v>0.24</v>
      </c>
      <c r="CN25" s="106" t="s">
        <v>24</v>
      </c>
      <c r="CO25" s="107">
        <v>452688</v>
      </c>
      <c r="CP25" s="107">
        <v>482226</v>
      </c>
      <c r="CQ25" s="107">
        <v>441362</v>
      </c>
      <c r="CR25" s="107">
        <v>469886</v>
      </c>
      <c r="CS25" s="107">
        <v>432633</v>
      </c>
      <c r="CT25" s="106" t="s">
        <v>24</v>
      </c>
      <c r="CU25" s="108">
        <v>0.89</v>
      </c>
      <c r="CV25" s="108">
        <v>0.89</v>
      </c>
      <c r="CW25" s="108">
        <v>0.87</v>
      </c>
      <c r="CX25" s="108">
        <v>0.78</v>
      </c>
      <c r="CY25" s="108">
        <v>0.79</v>
      </c>
    </row>
    <row r="26" spans="1:103" x14ac:dyDescent="0.15">
      <c r="A26" s="109" t="s">
        <v>349</v>
      </c>
      <c r="B26" s="106" t="s">
        <v>24</v>
      </c>
      <c r="C26" s="106" t="s">
        <v>24</v>
      </c>
      <c r="D26" s="106" t="s">
        <v>24</v>
      </c>
      <c r="E26" s="106" t="s">
        <v>24</v>
      </c>
      <c r="F26" s="106" t="s">
        <v>24</v>
      </c>
      <c r="G26" s="106" t="s">
        <v>24</v>
      </c>
      <c r="H26" s="106" t="s">
        <v>24</v>
      </c>
      <c r="I26" s="106" t="s">
        <v>24</v>
      </c>
      <c r="J26" s="106" t="s">
        <v>24</v>
      </c>
      <c r="K26" s="106" t="s">
        <v>24</v>
      </c>
      <c r="L26" s="106" t="s">
        <v>24</v>
      </c>
      <c r="M26" s="106" t="s">
        <v>24</v>
      </c>
      <c r="N26" s="106" t="s">
        <v>24</v>
      </c>
      <c r="O26" s="106" t="s">
        <v>24</v>
      </c>
      <c r="P26" s="106" t="s">
        <v>24</v>
      </c>
      <c r="Q26" s="106" t="s">
        <v>24</v>
      </c>
      <c r="R26" s="106" t="s">
        <v>24</v>
      </c>
      <c r="S26" s="106" t="s">
        <v>24</v>
      </c>
      <c r="T26" s="106" t="s">
        <v>24</v>
      </c>
      <c r="U26" s="106" t="s">
        <v>24</v>
      </c>
      <c r="V26" s="106" t="s">
        <v>24</v>
      </c>
      <c r="W26" s="106" t="s">
        <v>24</v>
      </c>
      <c r="X26" s="106" t="s">
        <v>24</v>
      </c>
      <c r="Y26" s="106" t="s">
        <v>24</v>
      </c>
      <c r="Z26" s="106" t="s">
        <v>24</v>
      </c>
      <c r="AA26" s="106" t="s">
        <v>24</v>
      </c>
      <c r="AB26" s="106" t="s">
        <v>24</v>
      </c>
      <c r="AC26" s="106" t="s">
        <v>24</v>
      </c>
      <c r="AD26" s="106" t="s">
        <v>24</v>
      </c>
      <c r="AE26" s="106" t="s">
        <v>24</v>
      </c>
      <c r="AF26" s="106" t="s">
        <v>24</v>
      </c>
      <c r="AG26" s="106" t="s">
        <v>24</v>
      </c>
      <c r="AH26" s="106" t="s">
        <v>24</v>
      </c>
      <c r="AI26" s="106" t="s">
        <v>24</v>
      </c>
      <c r="AJ26" s="106" t="s">
        <v>24</v>
      </c>
      <c r="AK26" s="106" t="s">
        <v>24</v>
      </c>
      <c r="AL26" s="106" t="s">
        <v>24</v>
      </c>
      <c r="AM26" s="106" t="s">
        <v>24</v>
      </c>
      <c r="AN26" s="106" t="s">
        <v>24</v>
      </c>
      <c r="AO26" s="106" t="s">
        <v>24</v>
      </c>
      <c r="AP26" s="106" t="s">
        <v>24</v>
      </c>
      <c r="AQ26" s="106" t="s">
        <v>24</v>
      </c>
      <c r="AR26" s="106" t="s">
        <v>24</v>
      </c>
      <c r="AS26" s="106" t="s">
        <v>24</v>
      </c>
      <c r="AT26" s="106" t="s">
        <v>24</v>
      </c>
      <c r="AU26" s="106" t="s">
        <v>24</v>
      </c>
      <c r="AV26" s="106" t="s">
        <v>24</v>
      </c>
      <c r="AW26" s="106" t="s">
        <v>24</v>
      </c>
      <c r="AX26" s="106" t="s">
        <v>24</v>
      </c>
      <c r="AY26" s="106" t="s">
        <v>24</v>
      </c>
      <c r="AZ26" s="106" t="s">
        <v>24</v>
      </c>
      <c r="BA26" s="106" t="s">
        <v>24</v>
      </c>
      <c r="BB26" s="106" t="s">
        <v>24</v>
      </c>
      <c r="BC26" s="106" t="s">
        <v>24</v>
      </c>
      <c r="BD26" s="106" t="s">
        <v>24</v>
      </c>
      <c r="BE26" s="106" t="s">
        <v>24</v>
      </c>
      <c r="BF26" s="106" t="s">
        <v>24</v>
      </c>
      <c r="BG26" s="106" t="s">
        <v>24</v>
      </c>
      <c r="BH26" s="106" t="s">
        <v>24</v>
      </c>
      <c r="BI26" s="106" t="s">
        <v>24</v>
      </c>
      <c r="BJ26" s="106" t="s">
        <v>24</v>
      </c>
      <c r="BK26" s="106" t="s">
        <v>24</v>
      </c>
      <c r="BL26" s="106" t="s">
        <v>24</v>
      </c>
      <c r="BM26" s="106" t="s">
        <v>24</v>
      </c>
      <c r="BN26" s="106" t="s">
        <v>24</v>
      </c>
      <c r="BO26" s="106" t="s">
        <v>24</v>
      </c>
      <c r="BP26" s="106" t="s">
        <v>24</v>
      </c>
      <c r="BQ26" s="106" t="s">
        <v>24</v>
      </c>
      <c r="BR26" s="106" t="s">
        <v>24</v>
      </c>
      <c r="BS26" s="106" t="s">
        <v>24</v>
      </c>
      <c r="BT26" s="106" t="s">
        <v>24</v>
      </c>
      <c r="BU26" s="106" t="s">
        <v>24</v>
      </c>
      <c r="BV26" s="106" t="s">
        <v>24</v>
      </c>
      <c r="BW26" s="106" t="s">
        <v>24</v>
      </c>
      <c r="BX26" s="106" t="s">
        <v>24</v>
      </c>
      <c r="BY26" s="106" t="s">
        <v>24</v>
      </c>
      <c r="BZ26" s="106" t="s">
        <v>24</v>
      </c>
      <c r="CA26" s="106" t="s">
        <v>24</v>
      </c>
      <c r="CB26" s="106" t="s">
        <v>24</v>
      </c>
      <c r="CC26" s="106" t="s">
        <v>24</v>
      </c>
      <c r="CD26" s="106" t="s">
        <v>24</v>
      </c>
      <c r="CE26" s="106" t="s">
        <v>24</v>
      </c>
      <c r="CF26" s="106" t="s">
        <v>24</v>
      </c>
      <c r="CG26" s="106" t="s">
        <v>24</v>
      </c>
      <c r="CH26" s="106" t="s">
        <v>24</v>
      </c>
      <c r="CI26" s="106" t="s">
        <v>24</v>
      </c>
      <c r="CJ26" s="106" t="s">
        <v>24</v>
      </c>
      <c r="CK26" s="106" t="s">
        <v>24</v>
      </c>
      <c r="CL26" s="106" t="s">
        <v>24</v>
      </c>
      <c r="CM26" s="106" t="s">
        <v>24</v>
      </c>
      <c r="CN26" s="106" t="s">
        <v>24</v>
      </c>
      <c r="CO26" s="106" t="s">
        <v>24</v>
      </c>
      <c r="CP26" s="106" t="s">
        <v>24</v>
      </c>
      <c r="CQ26" s="106" t="s">
        <v>24</v>
      </c>
      <c r="CR26" s="106" t="s">
        <v>24</v>
      </c>
      <c r="CS26" s="106" t="s">
        <v>24</v>
      </c>
      <c r="CT26" s="106" t="s">
        <v>24</v>
      </c>
      <c r="CU26" s="106" t="s">
        <v>24</v>
      </c>
      <c r="CV26" s="106" t="s">
        <v>24</v>
      </c>
      <c r="CW26" s="106" t="s">
        <v>24</v>
      </c>
      <c r="CX26" s="106" t="s">
        <v>24</v>
      </c>
      <c r="CY26" s="106" t="s">
        <v>24</v>
      </c>
    </row>
    <row r="27" spans="1:103" x14ac:dyDescent="0.15">
      <c r="A27" s="109" t="s">
        <v>348</v>
      </c>
      <c r="B27" s="106" t="s">
        <v>24</v>
      </c>
      <c r="C27" s="106" t="s">
        <v>24</v>
      </c>
      <c r="D27" s="106" t="s">
        <v>24</v>
      </c>
      <c r="E27" s="108">
        <v>5.2</v>
      </c>
      <c r="F27" s="108">
        <v>1.62</v>
      </c>
      <c r="G27" s="108">
        <v>1.72</v>
      </c>
      <c r="H27" s="106" t="s">
        <v>24</v>
      </c>
      <c r="I27" s="106" t="s">
        <v>24</v>
      </c>
      <c r="J27" s="106" t="s">
        <v>24</v>
      </c>
      <c r="K27" s="108">
        <v>1.85</v>
      </c>
      <c r="L27" s="108">
        <v>1.76</v>
      </c>
      <c r="M27" s="108">
        <v>1.81</v>
      </c>
      <c r="N27" s="106" t="s">
        <v>24</v>
      </c>
      <c r="O27" s="106" t="s">
        <v>24</v>
      </c>
      <c r="P27" s="106" t="s">
        <v>24</v>
      </c>
      <c r="Q27" s="108">
        <v>1.36</v>
      </c>
      <c r="R27" s="108">
        <v>1.68</v>
      </c>
      <c r="S27" s="108">
        <v>1.8</v>
      </c>
      <c r="T27" s="106" t="s">
        <v>24</v>
      </c>
      <c r="U27" s="106" t="s">
        <v>24</v>
      </c>
      <c r="V27" s="106" t="s">
        <v>24</v>
      </c>
      <c r="W27" s="108">
        <v>8.83</v>
      </c>
      <c r="X27" s="108">
        <v>11.02</v>
      </c>
      <c r="Y27" s="108">
        <v>11.03</v>
      </c>
      <c r="Z27" s="106" t="s">
        <v>24</v>
      </c>
      <c r="AA27" s="106" t="s">
        <v>24</v>
      </c>
      <c r="AB27" s="106" t="s">
        <v>24</v>
      </c>
      <c r="AC27" s="108">
        <v>37.81</v>
      </c>
      <c r="AD27" s="108">
        <v>38.700000000000003</v>
      </c>
      <c r="AE27" s="108">
        <v>37.99</v>
      </c>
      <c r="AF27" s="106" t="s">
        <v>24</v>
      </c>
      <c r="AG27" s="106" t="s">
        <v>24</v>
      </c>
      <c r="AH27" s="106" t="s">
        <v>24</v>
      </c>
      <c r="AI27" s="108"/>
      <c r="AJ27" s="108"/>
      <c r="AK27" s="108"/>
      <c r="AL27" s="106" t="s">
        <v>24</v>
      </c>
      <c r="AM27" s="106" t="s">
        <v>24</v>
      </c>
      <c r="AN27" s="106" t="s">
        <v>24</v>
      </c>
      <c r="AO27" s="108">
        <v>2.98</v>
      </c>
      <c r="AP27" s="108">
        <v>2.86</v>
      </c>
      <c r="AQ27" s="108">
        <v>2.69</v>
      </c>
      <c r="AR27" s="106" t="s">
        <v>24</v>
      </c>
      <c r="AS27" s="106" t="s">
        <v>24</v>
      </c>
      <c r="AT27" s="106" t="s">
        <v>24</v>
      </c>
      <c r="AU27" s="108">
        <v>2.83</v>
      </c>
      <c r="AV27" s="108">
        <v>2.96</v>
      </c>
      <c r="AW27" s="108">
        <v>3.15</v>
      </c>
      <c r="AX27" s="106" t="s">
        <v>24</v>
      </c>
      <c r="AY27" s="106" t="s">
        <v>24</v>
      </c>
      <c r="AZ27" s="106" t="s">
        <v>24</v>
      </c>
      <c r="BA27" s="108">
        <v>10.55</v>
      </c>
      <c r="BB27" s="108">
        <v>11.09</v>
      </c>
      <c r="BC27" s="108">
        <v>11.19</v>
      </c>
      <c r="BD27" s="106" t="s">
        <v>24</v>
      </c>
      <c r="BE27" s="106" t="s">
        <v>24</v>
      </c>
      <c r="BF27" s="106" t="s">
        <v>24</v>
      </c>
      <c r="BG27" s="108">
        <v>1.27</v>
      </c>
      <c r="BH27" s="108">
        <v>1.35</v>
      </c>
      <c r="BI27" s="108">
        <v>1.29</v>
      </c>
      <c r="BJ27" s="106" t="s">
        <v>24</v>
      </c>
      <c r="BK27" s="106" t="s">
        <v>24</v>
      </c>
      <c r="BL27" s="106" t="s">
        <v>24</v>
      </c>
      <c r="BM27" s="108">
        <v>1.07</v>
      </c>
      <c r="BN27" s="108">
        <v>0.8</v>
      </c>
      <c r="BO27" s="108">
        <v>1.03</v>
      </c>
      <c r="BP27" s="106" t="s">
        <v>24</v>
      </c>
      <c r="BQ27" s="106" t="s">
        <v>24</v>
      </c>
      <c r="BR27" s="106" t="s">
        <v>24</v>
      </c>
      <c r="BS27" s="108">
        <v>5.84</v>
      </c>
      <c r="BT27" s="108">
        <v>6.27</v>
      </c>
      <c r="BU27" s="108">
        <v>6.46</v>
      </c>
      <c r="BV27" s="106" t="s">
        <v>24</v>
      </c>
      <c r="BW27" s="106" t="s">
        <v>24</v>
      </c>
      <c r="BX27" s="106" t="s">
        <v>24</v>
      </c>
      <c r="BY27" s="108">
        <v>9.7100000000000009</v>
      </c>
      <c r="BZ27" s="108">
        <v>10.46</v>
      </c>
      <c r="CA27" s="108">
        <v>10.84</v>
      </c>
      <c r="CB27" s="106" t="s">
        <v>24</v>
      </c>
      <c r="CC27" s="106" t="s">
        <v>24</v>
      </c>
      <c r="CD27" s="106" t="s">
        <v>24</v>
      </c>
      <c r="CE27" s="108">
        <v>1.1499999999999999</v>
      </c>
      <c r="CF27" s="108">
        <v>1.23</v>
      </c>
      <c r="CG27" s="108">
        <v>1.2</v>
      </c>
      <c r="CH27" s="106" t="s">
        <v>24</v>
      </c>
      <c r="CI27" s="106" t="s">
        <v>24</v>
      </c>
      <c r="CJ27" s="106" t="s">
        <v>24</v>
      </c>
      <c r="CK27" s="108">
        <v>0.55000000000000004</v>
      </c>
      <c r="CL27" s="108">
        <v>0.56000000000000005</v>
      </c>
      <c r="CM27" s="108">
        <v>0.57999999999999996</v>
      </c>
      <c r="CN27" s="106" t="s">
        <v>24</v>
      </c>
      <c r="CO27" s="106" t="s">
        <v>24</v>
      </c>
      <c r="CP27" s="106" t="s">
        <v>24</v>
      </c>
      <c r="CQ27" s="106" t="s">
        <v>24</v>
      </c>
      <c r="CR27" s="106" t="s">
        <v>24</v>
      </c>
      <c r="CS27" s="106" t="s">
        <v>24</v>
      </c>
      <c r="CT27" s="106" t="s">
        <v>24</v>
      </c>
      <c r="CU27" s="106" t="s">
        <v>24</v>
      </c>
      <c r="CV27" s="106" t="s">
        <v>24</v>
      </c>
      <c r="CW27" s="107">
        <v>0</v>
      </c>
      <c r="CX27" s="107">
        <v>0</v>
      </c>
      <c r="CY27" s="108">
        <v>0.01</v>
      </c>
    </row>
    <row r="28" spans="1:103" x14ac:dyDescent="0.15">
      <c r="A28" s="109" t="s">
        <v>347</v>
      </c>
      <c r="B28" s="106" t="s">
        <v>24</v>
      </c>
      <c r="C28" s="108">
        <v>32.74</v>
      </c>
      <c r="D28" s="108">
        <v>17.2</v>
      </c>
      <c r="E28" s="108">
        <v>-147.03</v>
      </c>
      <c r="F28" s="108">
        <v>35.229999999999997</v>
      </c>
      <c r="G28" s="108">
        <v>42.17</v>
      </c>
      <c r="H28" s="106" t="s">
        <v>24</v>
      </c>
      <c r="I28" s="108">
        <v>0.62</v>
      </c>
      <c r="J28" s="108">
        <v>0.33</v>
      </c>
      <c r="K28" s="108">
        <v>0.44</v>
      </c>
      <c r="L28" s="108">
        <v>0.36</v>
      </c>
      <c r="M28" s="108">
        <v>0.25</v>
      </c>
      <c r="N28" s="106" t="s">
        <v>24</v>
      </c>
      <c r="O28" s="108">
        <v>4.93</v>
      </c>
      <c r="P28" s="108">
        <v>12.72</v>
      </c>
      <c r="Q28" s="108">
        <v>9.52</v>
      </c>
      <c r="R28" s="108">
        <v>26.63</v>
      </c>
      <c r="S28" s="108">
        <v>10.39</v>
      </c>
      <c r="T28" s="106" t="s">
        <v>24</v>
      </c>
      <c r="U28" s="108">
        <v>13.94</v>
      </c>
      <c r="V28" s="108">
        <v>23.38</v>
      </c>
      <c r="W28" s="108">
        <v>20.329999999999998</v>
      </c>
      <c r="X28" s="108">
        <v>37.020000000000003</v>
      </c>
      <c r="Y28" s="108">
        <v>21.54</v>
      </c>
      <c r="Z28" s="106" t="s">
        <v>24</v>
      </c>
      <c r="AA28" s="108">
        <v>53.16</v>
      </c>
      <c r="AB28" s="108">
        <v>55.46</v>
      </c>
      <c r="AC28" s="108">
        <v>56.27</v>
      </c>
      <c r="AD28" s="108">
        <v>62.21</v>
      </c>
      <c r="AE28" s="108">
        <v>61.98</v>
      </c>
      <c r="AF28" s="106" t="s">
        <v>24</v>
      </c>
      <c r="AG28" s="108">
        <v>2.2400000000000002</v>
      </c>
      <c r="AH28" s="108">
        <v>2.4900000000000002</v>
      </c>
      <c r="AI28" s="108">
        <v>2.36</v>
      </c>
      <c r="AJ28" s="108">
        <v>4.79</v>
      </c>
      <c r="AK28" s="108">
        <v>2.91</v>
      </c>
      <c r="AL28" s="106" t="s">
        <v>24</v>
      </c>
      <c r="AM28" s="106" t="s">
        <v>24</v>
      </c>
      <c r="AN28" s="106" t="s">
        <v>24</v>
      </c>
      <c r="AO28" s="106" t="s">
        <v>24</v>
      </c>
      <c r="AP28" s="106" t="s">
        <v>24</v>
      </c>
      <c r="AQ28" s="106" t="s">
        <v>24</v>
      </c>
      <c r="AR28" s="106" t="s">
        <v>24</v>
      </c>
      <c r="AS28" s="108">
        <v>4.3499999999999996</v>
      </c>
      <c r="AT28" s="108">
        <v>3.21</v>
      </c>
      <c r="AU28" s="108">
        <v>3.1</v>
      </c>
      <c r="AV28" s="108">
        <v>2.4900000000000002</v>
      </c>
      <c r="AW28" s="108">
        <v>2.64</v>
      </c>
      <c r="AX28" s="106" t="s">
        <v>24</v>
      </c>
      <c r="AY28" s="108">
        <v>1.03</v>
      </c>
      <c r="AZ28" s="108">
        <v>6.6</v>
      </c>
      <c r="BA28" s="108">
        <v>17.829999999999998</v>
      </c>
      <c r="BB28" s="108">
        <v>12.89</v>
      </c>
      <c r="BC28" s="108">
        <v>1.33</v>
      </c>
      <c r="BD28" s="106" t="s">
        <v>24</v>
      </c>
      <c r="BE28" s="108">
        <v>14.28</v>
      </c>
      <c r="BF28" s="108">
        <v>18.79</v>
      </c>
      <c r="BG28" s="108">
        <v>18.36</v>
      </c>
      <c r="BH28" s="108">
        <v>32.869999999999997</v>
      </c>
      <c r="BI28" s="108">
        <v>19.899999999999999</v>
      </c>
      <c r="BJ28" s="106" t="s">
        <v>24</v>
      </c>
      <c r="BK28" s="108">
        <v>0.51</v>
      </c>
      <c r="BL28" s="108">
        <v>0.22</v>
      </c>
      <c r="BM28" s="108">
        <v>0.35</v>
      </c>
      <c r="BN28" s="108">
        <v>0.28000000000000003</v>
      </c>
      <c r="BO28" s="108">
        <v>0.16</v>
      </c>
      <c r="BP28" s="106" t="s">
        <v>24</v>
      </c>
      <c r="BQ28" s="108">
        <v>0.25</v>
      </c>
      <c r="BR28" s="108">
        <v>1.28</v>
      </c>
      <c r="BS28" s="108">
        <v>3.69</v>
      </c>
      <c r="BT28" s="108">
        <v>2.2200000000000002</v>
      </c>
      <c r="BU28" s="108">
        <v>0.21</v>
      </c>
      <c r="BV28" s="106" t="s">
        <v>24</v>
      </c>
      <c r="BW28" s="108">
        <v>0.64</v>
      </c>
      <c r="BX28" s="108">
        <v>3.17</v>
      </c>
      <c r="BY28" s="108">
        <v>9.44</v>
      </c>
      <c r="BZ28" s="108">
        <v>5.98</v>
      </c>
      <c r="CA28" s="108">
        <v>0.56999999999999995</v>
      </c>
      <c r="CB28" s="106" t="s">
        <v>24</v>
      </c>
      <c r="CC28" s="108">
        <v>4.76</v>
      </c>
      <c r="CD28" s="108">
        <v>4.96</v>
      </c>
      <c r="CE28" s="108">
        <v>5.5</v>
      </c>
      <c r="CF28" s="108">
        <v>9.1999999999999993</v>
      </c>
      <c r="CG28" s="108">
        <v>5.44</v>
      </c>
      <c r="CH28" s="106" t="s">
        <v>24</v>
      </c>
      <c r="CI28" s="108">
        <v>0.24</v>
      </c>
      <c r="CJ28" s="108">
        <v>0.19</v>
      </c>
      <c r="CK28" s="108">
        <v>0.21</v>
      </c>
      <c r="CL28" s="108">
        <v>0.17</v>
      </c>
      <c r="CM28" s="108">
        <v>0.16</v>
      </c>
      <c r="CN28" s="106" t="s">
        <v>24</v>
      </c>
      <c r="CO28" s="107">
        <v>1524063</v>
      </c>
      <c r="CP28" s="107">
        <v>1732385</v>
      </c>
      <c r="CQ28" s="107">
        <v>1728659</v>
      </c>
      <c r="CR28" s="107">
        <v>1451071</v>
      </c>
      <c r="CS28" s="107">
        <v>1368827</v>
      </c>
      <c r="CT28" s="106" t="s">
        <v>24</v>
      </c>
      <c r="CU28" s="108">
        <v>0.95</v>
      </c>
      <c r="CV28" s="108">
        <v>0.81</v>
      </c>
      <c r="CW28" s="108">
        <v>0.82</v>
      </c>
      <c r="CX28" s="108">
        <v>0.68</v>
      </c>
      <c r="CY28" s="108">
        <v>0.63</v>
      </c>
    </row>
    <row r="29" spans="1:103" x14ac:dyDescent="0.15">
      <c r="A29" s="109" t="s">
        <v>346</v>
      </c>
      <c r="B29" s="106" t="s">
        <v>24</v>
      </c>
      <c r="C29" s="106" t="s">
        <v>24</v>
      </c>
      <c r="D29" s="108">
        <v>-158.51</v>
      </c>
      <c r="E29" s="106" t="s">
        <v>24</v>
      </c>
      <c r="F29" s="106" t="s">
        <v>24</v>
      </c>
      <c r="G29" s="108">
        <v>19.649999999999999</v>
      </c>
      <c r="H29" s="108">
        <v>0.87</v>
      </c>
      <c r="I29" s="108">
        <v>0.84</v>
      </c>
      <c r="J29" s="108">
        <v>0.73</v>
      </c>
      <c r="K29" s="107">
        <v>1</v>
      </c>
      <c r="L29" s="108">
        <v>0.52</v>
      </c>
      <c r="M29" s="108">
        <v>0.54</v>
      </c>
      <c r="N29" s="108">
        <v>-4.78</v>
      </c>
      <c r="O29" s="108">
        <v>-7.21</v>
      </c>
      <c r="P29" s="108">
        <v>4.88</v>
      </c>
      <c r="Q29" s="108">
        <v>-4.53</v>
      </c>
      <c r="R29" s="108">
        <v>-3.33</v>
      </c>
      <c r="S29" s="108">
        <v>6.71</v>
      </c>
      <c r="T29" s="108">
        <v>1.08</v>
      </c>
      <c r="U29" s="108">
        <v>-0.75</v>
      </c>
      <c r="V29" s="108">
        <v>10.5</v>
      </c>
      <c r="W29" s="108">
        <v>-0.37</v>
      </c>
      <c r="X29" s="108">
        <v>-0.69</v>
      </c>
      <c r="Y29" s="108">
        <v>8.98</v>
      </c>
      <c r="Z29" s="108">
        <v>42.77</v>
      </c>
      <c r="AA29" s="108">
        <v>44.89</v>
      </c>
      <c r="AB29" s="108">
        <v>44.07</v>
      </c>
      <c r="AC29" s="108">
        <v>40.53</v>
      </c>
      <c r="AD29" s="108">
        <v>39.71</v>
      </c>
      <c r="AE29" s="108">
        <v>45.17</v>
      </c>
      <c r="AF29" s="108">
        <v>0.02</v>
      </c>
      <c r="AG29" s="108">
        <v>0.7</v>
      </c>
      <c r="AH29" s="108">
        <v>1.36</v>
      </c>
      <c r="AI29" s="106" t="s">
        <v>24</v>
      </c>
      <c r="AJ29" s="106" t="s">
        <v>24</v>
      </c>
      <c r="AK29" s="108">
        <v>4.47</v>
      </c>
      <c r="AL29" s="108">
        <v>133.69999999999999</v>
      </c>
      <c r="AM29" s="108">
        <v>100.91</v>
      </c>
      <c r="AN29" s="106" t="s">
        <v>24</v>
      </c>
      <c r="AO29" s="106" t="s">
        <v>24</v>
      </c>
      <c r="AP29" s="106" t="s">
        <v>24</v>
      </c>
      <c r="AQ29" s="106" t="s">
        <v>24</v>
      </c>
      <c r="AR29" s="108">
        <v>26.19</v>
      </c>
      <c r="AS29" s="108">
        <v>23.22</v>
      </c>
      <c r="AT29" s="108">
        <v>25.24</v>
      </c>
      <c r="AU29" s="108">
        <v>30.65</v>
      </c>
      <c r="AV29" s="108">
        <v>66.849999999999994</v>
      </c>
      <c r="AW29" s="108">
        <v>116.48</v>
      </c>
      <c r="AX29" s="108">
        <v>-4.84</v>
      </c>
      <c r="AY29" s="108">
        <v>-7.72</v>
      </c>
      <c r="AZ29" s="108">
        <v>11.47</v>
      </c>
      <c r="BA29" s="108">
        <v>0.46</v>
      </c>
      <c r="BB29" s="108">
        <v>2.14</v>
      </c>
      <c r="BC29" s="108">
        <v>7.58</v>
      </c>
      <c r="BD29" s="108">
        <v>7.0000000000000007E-2</v>
      </c>
      <c r="BE29" s="108">
        <v>3.53</v>
      </c>
      <c r="BF29" s="108">
        <v>6.02</v>
      </c>
      <c r="BG29" s="108">
        <v>-0.51</v>
      </c>
      <c r="BH29" s="108">
        <v>-1.07</v>
      </c>
      <c r="BI29" s="108">
        <v>9.26</v>
      </c>
      <c r="BJ29" s="108">
        <v>0.6</v>
      </c>
      <c r="BK29" s="108">
        <v>0.56000000000000005</v>
      </c>
      <c r="BL29" s="108">
        <v>0.6</v>
      </c>
      <c r="BM29" s="108">
        <v>0.72</v>
      </c>
      <c r="BN29" s="108">
        <v>0.52</v>
      </c>
      <c r="BO29" s="108">
        <v>0.53</v>
      </c>
      <c r="BP29" s="108">
        <v>-2.2999999999999998</v>
      </c>
      <c r="BQ29" s="108">
        <v>-3.27</v>
      </c>
      <c r="BR29" s="108">
        <v>5.21</v>
      </c>
      <c r="BS29" s="108">
        <v>0.23</v>
      </c>
      <c r="BT29" s="108">
        <v>1.4</v>
      </c>
      <c r="BU29" s="108">
        <v>5.92</v>
      </c>
      <c r="BV29" s="108">
        <v>-6.74</v>
      </c>
      <c r="BW29" s="108">
        <v>-9.36</v>
      </c>
      <c r="BX29" s="108">
        <v>16.7</v>
      </c>
      <c r="BY29" s="108">
        <v>0.88</v>
      </c>
      <c r="BZ29" s="108">
        <v>5.92</v>
      </c>
      <c r="CA29" s="108">
        <v>25.48</v>
      </c>
      <c r="CB29" s="108">
        <v>0.05</v>
      </c>
      <c r="CC29" s="108">
        <v>2.0499999999999998</v>
      </c>
      <c r="CD29" s="108">
        <v>4.03</v>
      </c>
      <c r="CE29" s="108">
        <v>-0.38</v>
      </c>
      <c r="CF29" s="108">
        <v>-1.07</v>
      </c>
      <c r="CG29" s="108">
        <v>11.18</v>
      </c>
      <c r="CH29" s="108">
        <v>0.47</v>
      </c>
      <c r="CI29" s="108">
        <v>0.42</v>
      </c>
      <c r="CJ29" s="108">
        <v>0.45</v>
      </c>
      <c r="CK29" s="108">
        <v>0.49</v>
      </c>
      <c r="CL29" s="108">
        <v>0.66</v>
      </c>
      <c r="CM29" s="108">
        <v>0.78</v>
      </c>
      <c r="CN29" s="107">
        <v>2688407</v>
      </c>
      <c r="CO29" s="107">
        <v>2601060</v>
      </c>
      <c r="CP29" s="107">
        <v>2449051</v>
      </c>
      <c r="CQ29" s="107">
        <v>2243518</v>
      </c>
      <c r="CR29" s="107">
        <v>2944661</v>
      </c>
      <c r="CS29" s="106" t="s">
        <v>24</v>
      </c>
      <c r="CT29" s="108">
        <v>1.2</v>
      </c>
      <c r="CU29" s="108">
        <v>1.22</v>
      </c>
      <c r="CV29" s="108">
        <v>0.97</v>
      </c>
      <c r="CW29" s="108">
        <v>1.43</v>
      </c>
      <c r="CX29" s="108">
        <v>1.88</v>
      </c>
      <c r="CY29" s="108">
        <v>1.63</v>
      </c>
    </row>
    <row r="30" spans="1:103" x14ac:dyDescent="0.15">
      <c r="A30" s="109" t="s">
        <v>345</v>
      </c>
      <c r="B30" s="106" t="s">
        <v>24</v>
      </c>
      <c r="C30" s="106" t="s">
        <v>24</v>
      </c>
      <c r="D30" s="106" t="s">
        <v>24</v>
      </c>
      <c r="E30" s="106" t="s">
        <v>24</v>
      </c>
      <c r="F30" s="106" t="s">
        <v>24</v>
      </c>
      <c r="G30" s="106" t="s">
        <v>24</v>
      </c>
      <c r="H30" s="106" t="s">
        <v>24</v>
      </c>
      <c r="I30" s="106" t="s">
        <v>24</v>
      </c>
      <c r="J30" s="106" t="s">
        <v>24</v>
      </c>
      <c r="K30" s="106" t="s">
        <v>24</v>
      </c>
      <c r="L30" s="106" t="s">
        <v>24</v>
      </c>
      <c r="M30" s="106" t="s">
        <v>24</v>
      </c>
      <c r="N30" s="106" t="s">
        <v>24</v>
      </c>
      <c r="O30" s="106" t="s">
        <v>24</v>
      </c>
      <c r="P30" s="106" t="s">
        <v>24</v>
      </c>
      <c r="Q30" s="106" t="s">
        <v>24</v>
      </c>
      <c r="R30" s="106" t="s">
        <v>24</v>
      </c>
      <c r="S30" s="106" t="s">
        <v>24</v>
      </c>
      <c r="T30" s="106" t="s">
        <v>24</v>
      </c>
      <c r="U30" s="106" t="s">
        <v>24</v>
      </c>
      <c r="V30" s="106" t="s">
        <v>24</v>
      </c>
      <c r="W30" s="106" t="s">
        <v>24</v>
      </c>
      <c r="X30" s="106" t="s">
        <v>24</v>
      </c>
      <c r="Y30" s="106" t="s">
        <v>24</v>
      </c>
      <c r="Z30" s="106" t="s">
        <v>24</v>
      </c>
      <c r="AA30" s="106" t="s">
        <v>24</v>
      </c>
      <c r="AB30" s="106" t="s">
        <v>24</v>
      </c>
      <c r="AC30" s="106" t="s">
        <v>24</v>
      </c>
      <c r="AD30" s="106" t="s">
        <v>24</v>
      </c>
      <c r="AE30" s="106" t="s">
        <v>24</v>
      </c>
      <c r="AF30" s="106" t="s">
        <v>24</v>
      </c>
      <c r="AG30" s="106" t="s">
        <v>24</v>
      </c>
      <c r="AH30" s="106" t="s">
        <v>24</v>
      </c>
      <c r="AI30" s="106" t="s">
        <v>24</v>
      </c>
      <c r="AJ30" s="106" t="s">
        <v>24</v>
      </c>
      <c r="AK30" s="106" t="s">
        <v>24</v>
      </c>
      <c r="AL30" s="106" t="s">
        <v>24</v>
      </c>
      <c r="AM30" s="106" t="s">
        <v>24</v>
      </c>
      <c r="AN30" s="106" t="s">
        <v>24</v>
      </c>
      <c r="AO30" s="106" t="s">
        <v>24</v>
      </c>
      <c r="AP30" s="106" t="s">
        <v>24</v>
      </c>
      <c r="AQ30" s="106" t="s">
        <v>24</v>
      </c>
      <c r="AR30" s="106" t="s">
        <v>24</v>
      </c>
      <c r="AS30" s="106" t="s">
        <v>24</v>
      </c>
      <c r="AT30" s="106" t="s">
        <v>24</v>
      </c>
      <c r="AU30" s="106" t="s">
        <v>24</v>
      </c>
      <c r="AV30" s="106" t="s">
        <v>24</v>
      </c>
      <c r="AW30" s="106" t="s">
        <v>24</v>
      </c>
      <c r="AX30" s="106" t="s">
        <v>24</v>
      </c>
      <c r="AY30" s="106" t="s">
        <v>24</v>
      </c>
      <c r="AZ30" s="106" t="s">
        <v>24</v>
      </c>
      <c r="BA30" s="106" t="s">
        <v>24</v>
      </c>
      <c r="BB30" s="106" t="s">
        <v>24</v>
      </c>
      <c r="BC30" s="106" t="s">
        <v>24</v>
      </c>
      <c r="BD30" s="106" t="s">
        <v>24</v>
      </c>
      <c r="BE30" s="106" t="s">
        <v>24</v>
      </c>
      <c r="BF30" s="106" t="s">
        <v>24</v>
      </c>
      <c r="BG30" s="106" t="s">
        <v>24</v>
      </c>
      <c r="BH30" s="106" t="s">
        <v>24</v>
      </c>
      <c r="BI30" s="106" t="s">
        <v>24</v>
      </c>
      <c r="BJ30" s="106" t="s">
        <v>24</v>
      </c>
      <c r="BK30" s="106" t="s">
        <v>24</v>
      </c>
      <c r="BL30" s="106" t="s">
        <v>24</v>
      </c>
      <c r="BM30" s="106" t="s">
        <v>24</v>
      </c>
      <c r="BN30" s="106" t="s">
        <v>24</v>
      </c>
      <c r="BO30" s="106" t="s">
        <v>24</v>
      </c>
      <c r="BP30" s="106" t="s">
        <v>24</v>
      </c>
      <c r="BQ30" s="106" t="s">
        <v>24</v>
      </c>
      <c r="BR30" s="106" t="s">
        <v>24</v>
      </c>
      <c r="BS30" s="106" t="s">
        <v>24</v>
      </c>
      <c r="BT30" s="106" t="s">
        <v>24</v>
      </c>
      <c r="BU30" s="106" t="s">
        <v>24</v>
      </c>
      <c r="BV30" s="106" t="s">
        <v>24</v>
      </c>
      <c r="BW30" s="106" t="s">
        <v>24</v>
      </c>
      <c r="BX30" s="106" t="s">
        <v>24</v>
      </c>
      <c r="BY30" s="106" t="s">
        <v>24</v>
      </c>
      <c r="BZ30" s="106" t="s">
        <v>24</v>
      </c>
      <c r="CA30" s="106" t="s">
        <v>24</v>
      </c>
      <c r="CB30" s="106" t="s">
        <v>24</v>
      </c>
      <c r="CC30" s="106" t="s">
        <v>24</v>
      </c>
      <c r="CD30" s="106" t="s">
        <v>24</v>
      </c>
      <c r="CE30" s="106" t="s">
        <v>24</v>
      </c>
      <c r="CF30" s="106" t="s">
        <v>24</v>
      </c>
      <c r="CG30" s="106" t="s">
        <v>24</v>
      </c>
      <c r="CH30" s="106" t="s">
        <v>24</v>
      </c>
      <c r="CI30" s="106" t="s">
        <v>24</v>
      </c>
      <c r="CJ30" s="106" t="s">
        <v>24</v>
      </c>
      <c r="CK30" s="106" t="s">
        <v>24</v>
      </c>
      <c r="CL30" s="106" t="s">
        <v>24</v>
      </c>
      <c r="CM30" s="106" t="s">
        <v>24</v>
      </c>
      <c r="CN30" s="106" t="s">
        <v>24</v>
      </c>
      <c r="CO30" s="106" t="s">
        <v>24</v>
      </c>
      <c r="CP30" s="106" t="s">
        <v>24</v>
      </c>
      <c r="CQ30" s="106" t="s">
        <v>24</v>
      </c>
      <c r="CR30" s="106" t="s">
        <v>24</v>
      </c>
      <c r="CS30" s="106" t="s">
        <v>24</v>
      </c>
      <c r="CT30" s="106" t="s">
        <v>24</v>
      </c>
      <c r="CU30" s="106" t="s">
        <v>24</v>
      </c>
      <c r="CV30" s="106" t="s">
        <v>24</v>
      </c>
      <c r="CW30" s="106" t="s">
        <v>24</v>
      </c>
      <c r="CX30" s="106" t="s">
        <v>24</v>
      </c>
      <c r="CY30" s="106" t="s">
        <v>24</v>
      </c>
    </row>
    <row r="31" spans="1:103" x14ac:dyDescent="0.15">
      <c r="A31" s="109" t="s">
        <v>344</v>
      </c>
      <c r="B31" s="106" t="s">
        <v>24</v>
      </c>
      <c r="C31" s="108">
        <v>8.18</v>
      </c>
      <c r="D31" s="106" t="s">
        <v>24</v>
      </c>
      <c r="E31" s="108">
        <v>34.93</v>
      </c>
      <c r="F31" s="108">
        <v>69.209999999999994</v>
      </c>
      <c r="G31" s="108">
        <v>38.590000000000003</v>
      </c>
      <c r="H31" s="108">
        <v>1.21</v>
      </c>
      <c r="I31" s="108">
        <v>1.07</v>
      </c>
      <c r="J31" s="108">
        <v>1.66</v>
      </c>
      <c r="K31" s="108">
        <v>1.1000000000000001</v>
      </c>
      <c r="L31" s="108">
        <v>1.01</v>
      </c>
      <c r="M31" s="108">
        <v>0.91</v>
      </c>
      <c r="N31" s="108">
        <v>-8.4700000000000006</v>
      </c>
      <c r="O31" s="108">
        <v>4.41</v>
      </c>
      <c r="P31" s="108">
        <v>-0.43</v>
      </c>
      <c r="Q31" s="108">
        <v>16.95</v>
      </c>
      <c r="R31" s="108">
        <v>6.68</v>
      </c>
      <c r="S31" s="108">
        <v>13.97</v>
      </c>
      <c r="T31" s="108">
        <v>0.02</v>
      </c>
      <c r="U31" s="108">
        <v>13.29</v>
      </c>
      <c r="V31" s="108">
        <v>7.15</v>
      </c>
      <c r="W31" s="108">
        <v>21.1</v>
      </c>
      <c r="X31" s="108">
        <v>11.32</v>
      </c>
      <c r="Y31" s="108">
        <v>18.670000000000002</v>
      </c>
      <c r="Z31" s="108">
        <v>63.22</v>
      </c>
      <c r="AA31" s="108">
        <v>63.58</v>
      </c>
      <c r="AB31" s="108">
        <v>61.71</v>
      </c>
      <c r="AC31" s="108">
        <v>64.81</v>
      </c>
      <c r="AD31" s="108">
        <v>62.91</v>
      </c>
      <c r="AE31" s="108">
        <v>62.43</v>
      </c>
      <c r="AF31" s="106" t="s">
        <v>24</v>
      </c>
      <c r="AG31" s="108">
        <v>1.68</v>
      </c>
      <c r="AH31" s="108">
        <v>1.02</v>
      </c>
      <c r="AI31" s="108">
        <v>16.45</v>
      </c>
      <c r="AJ31" s="108">
        <v>6.4</v>
      </c>
      <c r="AK31" s="108">
        <v>12.51</v>
      </c>
      <c r="AL31" s="108">
        <v>21.62</v>
      </c>
      <c r="AM31" s="108">
        <v>21.72</v>
      </c>
      <c r="AN31" s="108">
        <v>26.04</v>
      </c>
      <c r="AO31" s="108">
        <v>28.33</v>
      </c>
      <c r="AP31" s="108">
        <v>26.98</v>
      </c>
      <c r="AQ31" s="108">
        <v>24.6</v>
      </c>
      <c r="AR31" s="108">
        <v>6.68</v>
      </c>
      <c r="AS31" s="108">
        <v>6.83</v>
      </c>
      <c r="AT31" s="108">
        <v>6.67</v>
      </c>
      <c r="AU31" s="107">
        <v>9</v>
      </c>
      <c r="AV31" s="108">
        <v>8.1300000000000008</v>
      </c>
      <c r="AW31" s="108">
        <v>7.61</v>
      </c>
      <c r="AX31" s="108">
        <v>-8.23</v>
      </c>
      <c r="AY31" s="108">
        <v>1.45</v>
      </c>
      <c r="AZ31" s="108">
        <v>4.42</v>
      </c>
      <c r="BA31" s="108">
        <v>11.03</v>
      </c>
      <c r="BB31" s="108">
        <v>2.06</v>
      </c>
      <c r="BC31" s="108">
        <v>8.58</v>
      </c>
      <c r="BD31" s="108">
        <v>-3.3</v>
      </c>
      <c r="BE31" s="107">
        <v>9</v>
      </c>
      <c r="BF31" s="108">
        <v>4.41</v>
      </c>
      <c r="BG31" s="108">
        <v>18.04</v>
      </c>
      <c r="BH31" s="108">
        <v>7.92</v>
      </c>
      <c r="BI31" s="108">
        <v>15.19</v>
      </c>
      <c r="BJ31" s="108">
        <v>0.8</v>
      </c>
      <c r="BK31" s="108">
        <v>0.51</v>
      </c>
      <c r="BL31" s="108">
        <v>0.82</v>
      </c>
      <c r="BM31" s="108">
        <v>0.66</v>
      </c>
      <c r="BN31" s="108">
        <v>0.61</v>
      </c>
      <c r="BO31" s="108">
        <v>0.56000000000000005</v>
      </c>
      <c r="BP31" s="108">
        <v>-4.01</v>
      </c>
      <c r="BQ31" s="108">
        <v>0.72</v>
      </c>
      <c r="BR31" s="108">
        <v>2.1</v>
      </c>
      <c r="BS31" s="108">
        <v>7.05</v>
      </c>
      <c r="BT31" s="108">
        <v>1.24</v>
      </c>
      <c r="BU31" s="108">
        <v>5.08</v>
      </c>
      <c r="BV31" s="108">
        <v>-24.56</v>
      </c>
      <c r="BW31" s="108">
        <v>2.95</v>
      </c>
      <c r="BX31" s="108">
        <v>7.6</v>
      </c>
      <c r="BY31" s="108">
        <v>20.05</v>
      </c>
      <c r="BZ31" s="108">
        <v>3.68</v>
      </c>
      <c r="CA31" s="108">
        <v>14.84</v>
      </c>
      <c r="CB31" s="108">
        <v>-2.6</v>
      </c>
      <c r="CC31" s="108">
        <v>6.67</v>
      </c>
      <c r="CD31" s="108">
        <v>3.07</v>
      </c>
      <c r="CE31" s="108">
        <v>18.86</v>
      </c>
      <c r="CF31" s="108">
        <v>7.82</v>
      </c>
      <c r="CG31" s="108">
        <v>14.44</v>
      </c>
      <c r="CH31" s="108">
        <v>0.49</v>
      </c>
      <c r="CI31" s="108">
        <v>0.5</v>
      </c>
      <c r="CJ31" s="108">
        <v>0.48</v>
      </c>
      <c r="CK31" s="108">
        <v>0.64</v>
      </c>
      <c r="CL31" s="108">
        <v>0.6</v>
      </c>
      <c r="CM31" s="108">
        <v>0.59</v>
      </c>
      <c r="CN31" s="107">
        <v>529016</v>
      </c>
      <c r="CO31" s="107">
        <v>562346</v>
      </c>
      <c r="CP31" s="107">
        <v>283942</v>
      </c>
      <c r="CQ31" s="107">
        <v>473304</v>
      </c>
      <c r="CR31" s="107">
        <v>441051</v>
      </c>
      <c r="CS31" s="107">
        <v>416778</v>
      </c>
      <c r="CT31" s="108">
        <v>7.69</v>
      </c>
      <c r="CU31" s="108">
        <v>1.54</v>
      </c>
      <c r="CV31" s="108">
        <v>1.94</v>
      </c>
      <c r="CW31" s="108">
        <v>0.7</v>
      </c>
      <c r="CX31" s="108">
        <v>0.78</v>
      </c>
      <c r="CY31" s="108">
        <v>0.84</v>
      </c>
    </row>
    <row r="32" spans="1:103" x14ac:dyDescent="0.15">
      <c r="A32" s="109" t="s">
        <v>343</v>
      </c>
      <c r="B32" s="106" t="s">
        <v>24</v>
      </c>
      <c r="C32" s="108">
        <v>37.51</v>
      </c>
      <c r="D32" s="108">
        <v>35.72</v>
      </c>
      <c r="E32" s="108">
        <v>35.83</v>
      </c>
      <c r="F32" s="108">
        <v>38.369999999999997</v>
      </c>
      <c r="G32" s="108">
        <v>43.27</v>
      </c>
      <c r="H32" s="106" t="s">
        <v>24</v>
      </c>
      <c r="I32" s="108">
        <v>1.35</v>
      </c>
      <c r="J32" s="108">
        <v>1.43</v>
      </c>
      <c r="K32" s="108">
        <v>1.24</v>
      </c>
      <c r="L32" s="108">
        <v>1.44</v>
      </c>
      <c r="M32" s="108">
        <v>1.42</v>
      </c>
      <c r="N32" s="106" t="s">
        <v>24</v>
      </c>
      <c r="O32" s="108">
        <v>20.84</v>
      </c>
      <c r="P32" s="108">
        <v>21.75</v>
      </c>
      <c r="Q32" s="108">
        <v>20.68</v>
      </c>
      <c r="R32" s="108">
        <v>19.079999999999998</v>
      </c>
      <c r="S32" s="108">
        <v>17.39</v>
      </c>
      <c r="T32" s="106" t="s">
        <v>24</v>
      </c>
      <c r="U32" s="108">
        <v>20.3</v>
      </c>
      <c r="V32" s="108">
        <v>20.149999999999999</v>
      </c>
      <c r="W32" s="108">
        <v>18.28</v>
      </c>
      <c r="X32" s="108">
        <v>19.010000000000002</v>
      </c>
      <c r="Y32" s="108">
        <v>17.04</v>
      </c>
      <c r="Z32" s="106" t="s">
        <v>24</v>
      </c>
      <c r="AA32" s="108">
        <v>81.319999999999993</v>
      </c>
      <c r="AB32" s="108">
        <v>78.41</v>
      </c>
      <c r="AC32" s="108">
        <v>77.41</v>
      </c>
      <c r="AD32" s="108">
        <v>78.47</v>
      </c>
      <c r="AE32" s="108">
        <v>77.22</v>
      </c>
      <c r="AF32" s="106" t="s">
        <v>24</v>
      </c>
      <c r="AG32" s="108"/>
      <c r="AH32" s="108"/>
      <c r="AI32" s="106" t="s">
        <v>24</v>
      </c>
      <c r="AJ32" s="106" t="s">
        <v>24</v>
      </c>
      <c r="AK32" s="106" t="s">
        <v>24</v>
      </c>
      <c r="AL32" s="106" t="s">
        <v>24</v>
      </c>
      <c r="AM32" s="108">
        <v>0.97</v>
      </c>
      <c r="AN32" s="108">
        <v>1.1599999999999999</v>
      </c>
      <c r="AO32" s="108">
        <v>1.24</v>
      </c>
      <c r="AP32" s="108">
        <v>1.23</v>
      </c>
      <c r="AQ32" s="108">
        <v>1.3</v>
      </c>
      <c r="AR32" s="106" t="s">
        <v>24</v>
      </c>
      <c r="AS32" s="108">
        <v>12.44</v>
      </c>
      <c r="AT32" s="108">
        <v>11.65</v>
      </c>
      <c r="AU32" s="108">
        <v>11.68</v>
      </c>
      <c r="AV32" s="108">
        <v>11.61</v>
      </c>
      <c r="AW32" s="108">
        <v>10.56</v>
      </c>
      <c r="AX32" s="106" t="s">
        <v>24</v>
      </c>
      <c r="AY32" s="108">
        <v>11.81</v>
      </c>
      <c r="AZ32" s="108">
        <v>12.66</v>
      </c>
      <c r="BA32" s="108">
        <v>11.19</v>
      </c>
      <c r="BB32" s="108">
        <v>11.26</v>
      </c>
      <c r="BC32" s="108">
        <v>9.1199999999999992</v>
      </c>
      <c r="BD32" s="106" t="s">
        <v>24</v>
      </c>
      <c r="BE32" s="108">
        <v>21.12</v>
      </c>
      <c r="BF32" s="108">
        <v>20.95</v>
      </c>
      <c r="BG32" s="108">
        <v>20.85</v>
      </c>
      <c r="BH32" s="108">
        <v>19.02</v>
      </c>
      <c r="BI32" s="108">
        <v>17.21</v>
      </c>
      <c r="BJ32" s="106" t="s">
        <v>24</v>
      </c>
      <c r="BK32" s="108">
        <v>0.6</v>
      </c>
      <c r="BL32" s="108">
        <v>0.7</v>
      </c>
      <c r="BM32" s="108">
        <v>0.54</v>
      </c>
      <c r="BN32" s="108">
        <v>0.7</v>
      </c>
      <c r="BO32" s="108">
        <v>0.73</v>
      </c>
      <c r="BP32" s="106" t="s">
        <v>24</v>
      </c>
      <c r="BQ32" s="108">
        <v>10.74</v>
      </c>
      <c r="BR32" s="108">
        <v>12.01</v>
      </c>
      <c r="BS32" s="108">
        <v>11.4</v>
      </c>
      <c r="BT32" s="108">
        <v>12.34</v>
      </c>
      <c r="BU32" s="108">
        <v>9.31</v>
      </c>
      <c r="BV32" s="106" t="s">
        <v>24</v>
      </c>
      <c r="BW32" s="108">
        <v>23.19</v>
      </c>
      <c r="BX32" s="108">
        <v>26.37</v>
      </c>
      <c r="BY32" s="108">
        <v>24.78</v>
      </c>
      <c r="BZ32" s="108">
        <v>25.37</v>
      </c>
      <c r="CA32" s="108">
        <v>19.739999999999998</v>
      </c>
      <c r="CB32" s="106" t="s">
        <v>24</v>
      </c>
      <c r="CC32" s="108">
        <v>36.49</v>
      </c>
      <c r="CD32" s="108">
        <v>39.61</v>
      </c>
      <c r="CE32" s="108">
        <v>43.12</v>
      </c>
      <c r="CF32" s="108">
        <v>42.72</v>
      </c>
      <c r="CG32" s="108">
        <v>37.11</v>
      </c>
      <c r="CH32" s="106" t="s">
        <v>24</v>
      </c>
      <c r="CI32" s="108">
        <v>0.91</v>
      </c>
      <c r="CJ32" s="108">
        <v>0.95</v>
      </c>
      <c r="CK32" s="108">
        <v>1.02</v>
      </c>
      <c r="CL32" s="108">
        <v>1.1000000000000001</v>
      </c>
      <c r="CM32" s="108">
        <v>1.02</v>
      </c>
      <c r="CN32" s="106" t="s">
        <v>24</v>
      </c>
      <c r="CO32" s="108">
        <v>629843.63</v>
      </c>
      <c r="CP32" s="108">
        <v>623195.73</v>
      </c>
      <c r="CQ32" s="108">
        <v>578886.81000000006</v>
      </c>
      <c r="CR32" s="108">
        <v>611677.34</v>
      </c>
      <c r="CS32" s="108">
        <v>704412.34</v>
      </c>
      <c r="CT32" s="106" t="s">
        <v>24</v>
      </c>
      <c r="CU32" s="108">
        <v>0.22</v>
      </c>
      <c r="CV32" s="108">
        <v>0.08</v>
      </c>
      <c r="CW32" s="108">
        <v>0.16</v>
      </c>
      <c r="CX32" s="107">
        <v>0</v>
      </c>
      <c r="CY32" s="107">
        <v>0</v>
      </c>
    </row>
    <row r="33" spans="1:103" x14ac:dyDescent="0.15">
      <c r="A33" s="109" t="s">
        <v>342</v>
      </c>
      <c r="B33" s="106" t="s">
        <v>24</v>
      </c>
      <c r="C33" s="106" t="s">
        <v>24</v>
      </c>
      <c r="D33" s="108">
        <v>-104.98</v>
      </c>
      <c r="E33" s="108">
        <v>-58.76</v>
      </c>
      <c r="F33" s="106" t="s">
        <v>24</v>
      </c>
      <c r="G33" s="106" t="s">
        <v>24</v>
      </c>
      <c r="H33" s="106" t="s">
        <v>24</v>
      </c>
      <c r="I33" s="108">
        <v>1.65</v>
      </c>
      <c r="J33" s="108">
        <v>2.29</v>
      </c>
      <c r="K33" s="108">
        <v>1.73</v>
      </c>
      <c r="L33" s="106" t="s">
        <v>24</v>
      </c>
      <c r="M33" s="106" t="s">
        <v>24</v>
      </c>
      <c r="N33" s="106" t="s">
        <v>24</v>
      </c>
      <c r="O33" s="108">
        <v>-34.67</v>
      </c>
      <c r="P33" s="108">
        <v>3.93</v>
      </c>
      <c r="Q33" s="108">
        <v>25.71</v>
      </c>
      <c r="R33" s="106" t="s">
        <v>24</v>
      </c>
      <c r="S33" s="106" t="s">
        <v>24</v>
      </c>
      <c r="T33" s="106" t="s">
        <v>24</v>
      </c>
      <c r="U33" s="108">
        <v>24.2</v>
      </c>
      <c r="V33" s="108">
        <v>60.17</v>
      </c>
      <c r="W33" s="108">
        <v>71.459999999999994</v>
      </c>
      <c r="X33" s="106" t="s">
        <v>24</v>
      </c>
      <c r="Y33" s="106" t="s">
        <v>24</v>
      </c>
      <c r="Z33" s="106" t="s">
        <v>24</v>
      </c>
      <c r="AA33" s="106" t="s">
        <v>24</v>
      </c>
      <c r="AB33" s="106" t="s">
        <v>24</v>
      </c>
      <c r="AC33" s="106" t="s">
        <v>24</v>
      </c>
      <c r="AD33" s="106" t="s">
        <v>24</v>
      </c>
      <c r="AE33" s="106" t="s">
        <v>24</v>
      </c>
      <c r="AF33" s="106" t="s">
        <v>24</v>
      </c>
      <c r="AG33" s="106" t="s">
        <v>24</v>
      </c>
      <c r="AH33" s="108">
        <v>2.0099999999999998</v>
      </c>
      <c r="AI33" s="108">
        <v>9.06</v>
      </c>
      <c r="AJ33" s="106" t="s">
        <v>24</v>
      </c>
      <c r="AK33" s="106" t="s">
        <v>24</v>
      </c>
      <c r="AL33" s="106" t="s">
        <v>24</v>
      </c>
      <c r="AM33" s="106" t="s">
        <v>24</v>
      </c>
      <c r="AN33" s="106" t="s">
        <v>24</v>
      </c>
      <c r="AO33" s="106" t="s">
        <v>24</v>
      </c>
      <c r="AP33" s="106" t="s">
        <v>24</v>
      </c>
      <c r="AQ33" s="106" t="s">
        <v>24</v>
      </c>
      <c r="AR33" s="106" t="s">
        <v>24</v>
      </c>
      <c r="AS33" s="107">
        <v>46</v>
      </c>
      <c r="AT33" s="108">
        <v>57.3</v>
      </c>
      <c r="AU33" s="106" t="s">
        <v>24</v>
      </c>
      <c r="AV33" s="106" t="s">
        <v>24</v>
      </c>
      <c r="AW33" s="106" t="s">
        <v>24</v>
      </c>
      <c r="AX33" s="106" t="s">
        <v>24</v>
      </c>
      <c r="AY33" s="108">
        <v>-27.74</v>
      </c>
      <c r="AZ33" s="108">
        <v>7.63</v>
      </c>
      <c r="BA33" s="108">
        <v>42.06</v>
      </c>
      <c r="BB33" s="106" t="s">
        <v>24</v>
      </c>
      <c r="BC33" s="106" t="s">
        <v>24</v>
      </c>
      <c r="BD33" s="106" t="s">
        <v>24</v>
      </c>
      <c r="BE33" s="108">
        <v>-29.09</v>
      </c>
      <c r="BF33" s="108">
        <v>7.89</v>
      </c>
      <c r="BG33" s="108">
        <v>18.25</v>
      </c>
      <c r="BH33" s="106" t="s">
        <v>24</v>
      </c>
      <c r="BI33" s="106" t="s">
        <v>24</v>
      </c>
      <c r="BJ33" s="106" t="s">
        <v>24</v>
      </c>
      <c r="BK33" s="108">
        <v>1.35</v>
      </c>
      <c r="BL33" s="108">
        <v>1.82</v>
      </c>
      <c r="BM33" s="108">
        <v>1.21</v>
      </c>
      <c r="BN33" s="106" t="s">
        <v>24</v>
      </c>
      <c r="BO33" s="106" t="s">
        <v>24</v>
      </c>
      <c r="BP33" s="106" t="s">
        <v>24</v>
      </c>
      <c r="BQ33" s="108">
        <v>-10.3</v>
      </c>
      <c r="BR33" s="108">
        <v>2.92</v>
      </c>
      <c r="BS33" s="106" t="s">
        <v>24</v>
      </c>
      <c r="BT33" s="106" t="s">
        <v>24</v>
      </c>
      <c r="BU33" s="106" t="s">
        <v>24</v>
      </c>
      <c r="BV33" s="106" t="s">
        <v>24</v>
      </c>
      <c r="BW33" s="108">
        <v>-28.15</v>
      </c>
      <c r="BX33" s="108">
        <v>6.29</v>
      </c>
      <c r="BY33" s="106" t="s">
        <v>24</v>
      </c>
      <c r="BZ33" s="106" t="s">
        <v>24</v>
      </c>
      <c r="CA33" s="106" t="s">
        <v>24</v>
      </c>
      <c r="CB33" s="106" t="s">
        <v>24</v>
      </c>
      <c r="CC33" s="108">
        <v>-14.17</v>
      </c>
      <c r="CD33" s="108">
        <v>3.91</v>
      </c>
      <c r="CE33" s="106" t="s">
        <v>24</v>
      </c>
      <c r="CF33" s="106" t="s">
        <v>24</v>
      </c>
      <c r="CG33" s="106" t="s">
        <v>24</v>
      </c>
      <c r="CH33" s="106" t="s">
        <v>24</v>
      </c>
      <c r="CI33" s="108">
        <v>0.37</v>
      </c>
      <c r="CJ33" s="108">
        <v>0.38</v>
      </c>
      <c r="CK33" s="106" t="s">
        <v>24</v>
      </c>
      <c r="CL33" s="106" t="s">
        <v>24</v>
      </c>
      <c r="CM33" s="106" t="s">
        <v>24</v>
      </c>
      <c r="CN33" s="106" t="s">
        <v>24</v>
      </c>
      <c r="CO33" s="106" t="s">
        <v>24</v>
      </c>
      <c r="CP33" s="106" t="s">
        <v>24</v>
      </c>
      <c r="CQ33" s="106" t="s">
        <v>24</v>
      </c>
      <c r="CR33" s="106" t="s">
        <v>24</v>
      </c>
      <c r="CS33" s="106" t="s">
        <v>24</v>
      </c>
      <c r="CT33" s="106" t="s">
        <v>24</v>
      </c>
      <c r="CU33" s="108">
        <v>1.49</v>
      </c>
      <c r="CV33" s="108">
        <v>0.81</v>
      </c>
      <c r="CW33" s="108">
        <v>0.53</v>
      </c>
      <c r="CX33" s="106" t="s">
        <v>24</v>
      </c>
      <c r="CY33" s="106" t="s">
        <v>24</v>
      </c>
    </row>
    <row r="34" spans="1:103" x14ac:dyDescent="0.15">
      <c r="A34" s="109" t="s">
        <v>341</v>
      </c>
      <c r="B34" s="106" t="s">
        <v>24</v>
      </c>
      <c r="C34" s="108">
        <v>36.700000000000003</v>
      </c>
      <c r="D34" s="108">
        <v>27.15</v>
      </c>
      <c r="E34" s="108">
        <v>-96.92</v>
      </c>
      <c r="F34" s="108">
        <v>45.45</v>
      </c>
      <c r="G34" s="108">
        <v>38.93</v>
      </c>
      <c r="H34" s="106" t="s">
        <v>24</v>
      </c>
      <c r="I34" s="108">
        <v>1.43</v>
      </c>
      <c r="J34" s="108">
        <v>1.9</v>
      </c>
      <c r="K34" s="108">
        <v>1.57</v>
      </c>
      <c r="L34" s="108">
        <v>1.92</v>
      </c>
      <c r="M34" s="108">
        <v>1.78</v>
      </c>
      <c r="N34" s="106" t="s">
        <v>24</v>
      </c>
      <c r="O34" s="108">
        <v>12.28</v>
      </c>
      <c r="P34" s="108">
        <v>19.260000000000002</v>
      </c>
      <c r="Q34" s="108">
        <v>9.93</v>
      </c>
      <c r="R34" s="108">
        <v>15.47</v>
      </c>
      <c r="S34" s="108">
        <v>13.95</v>
      </c>
      <c r="T34" s="106" t="s">
        <v>24</v>
      </c>
      <c r="U34" s="108">
        <v>35.74</v>
      </c>
      <c r="V34" s="108">
        <v>38.840000000000003</v>
      </c>
      <c r="W34" s="108">
        <v>33.130000000000003</v>
      </c>
      <c r="X34" s="108">
        <v>36.9</v>
      </c>
      <c r="Y34" s="108">
        <v>36.08</v>
      </c>
      <c r="Z34" s="106" t="s">
        <v>24</v>
      </c>
      <c r="AA34" s="108">
        <v>55.63</v>
      </c>
      <c r="AB34" s="108">
        <v>59.59</v>
      </c>
      <c r="AC34" s="108">
        <v>59.15</v>
      </c>
      <c r="AD34" s="108">
        <v>65.37</v>
      </c>
      <c r="AE34" s="108">
        <v>66.28</v>
      </c>
      <c r="AF34" s="106" t="s">
        <v>24</v>
      </c>
      <c r="AG34" s="108">
        <v>1.84</v>
      </c>
      <c r="AH34" s="108">
        <v>3.43</v>
      </c>
      <c r="AI34" s="108">
        <v>1.91</v>
      </c>
      <c r="AJ34" s="108">
        <v>2.48</v>
      </c>
      <c r="AK34" s="108">
        <v>2.56</v>
      </c>
      <c r="AL34" s="106" t="s">
        <v>24</v>
      </c>
      <c r="AM34" s="106" t="s">
        <v>24</v>
      </c>
      <c r="AN34" s="106" t="s">
        <v>24</v>
      </c>
      <c r="AO34" s="106" t="s">
        <v>24</v>
      </c>
      <c r="AP34" s="106" t="s">
        <v>24</v>
      </c>
      <c r="AQ34" s="106" t="s">
        <v>24</v>
      </c>
      <c r="AR34" s="106" t="s">
        <v>24</v>
      </c>
      <c r="AS34" s="108">
        <v>3.01</v>
      </c>
      <c r="AT34" s="108">
        <v>3.78</v>
      </c>
      <c r="AU34" s="108">
        <v>4.8099999999999996</v>
      </c>
      <c r="AV34" s="108">
        <v>4.05</v>
      </c>
      <c r="AW34" s="108">
        <v>3.55</v>
      </c>
      <c r="AX34" s="106" t="s">
        <v>24</v>
      </c>
      <c r="AY34" s="108">
        <v>7.58</v>
      </c>
      <c r="AZ34" s="108">
        <v>14.08</v>
      </c>
      <c r="BA34" s="108">
        <v>19.53</v>
      </c>
      <c r="BB34" s="108">
        <v>8.3000000000000007</v>
      </c>
      <c r="BC34" s="108">
        <v>8.67</v>
      </c>
      <c r="BD34" s="106" t="s">
        <v>24</v>
      </c>
      <c r="BE34" s="108">
        <v>18.39</v>
      </c>
      <c r="BF34" s="108">
        <v>27.39</v>
      </c>
      <c r="BG34" s="108">
        <v>18.96</v>
      </c>
      <c r="BH34" s="108">
        <v>26.04</v>
      </c>
      <c r="BI34" s="108">
        <v>22.99</v>
      </c>
      <c r="BJ34" s="106" t="s">
        <v>24</v>
      </c>
      <c r="BK34" s="108">
        <v>1.19</v>
      </c>
      <c r="BL34" s="108">
        <v>1.69</v>
      </c>
      <c r="BM34" s="107">
        <v>1</v>
      </c>
      <c r="BN34" s="108">
        <v>1.57</v>
      </c>
      <c r="BO34" s="108">
        <v>1.57</v>
      </c>
      <c r="BP34" s="106" t="s">
        <v>24</v>
      </c>
      <c r="BQ34" s="108">
        <v>2.19</v>
      </c>
      <c r="BR34" s="108">
        <v>5.36</v>
      </c>
      <c r="BS34" s="108">
        <v>9.09</v>
      </c>
      <c r="BT34" s="108">
        <v>3.8</v>
      </c>
      <c r="BU34" s="108">
        <v>4.71</v>
      </c>
      <c r="BV34" s="106" t="s">
        <v>24</v>
      </c>
      <c r="BW34" s="108">
        <v>11.86</v>
      </c>
      <c r="BX34" s="108">
        <v>22.75</v>
      </c>
      <c r="BY34" s="108">
        <v>54.61</v>
      </c>
      <c r="BZ34" s="108">
        <v>73.08</v>
      </c>
      <c r="CA34" s="108">
        <v>116.63</v>
      </c>
      <c r="CB34" s="106" t="s">
        <v>24</v>
      </c>
      <c r="CC34" s="108">
        <v>6.84</v>
      </c>
      <c r="CD34" s="108">
        <v>12.88</v>
      </c>
      <c r="CE34" s="108">
        <v>10.92</v>
      </c>
      <c r="CF34" s="108">
        <v>14.09</v>
      </c>
      <c r="CG34" s="108">
        <v>14.49</v>
      </c>
      <c r="CH34" s="106" t="s">
        <v>24</v>
      </c>
      <c r="CI34" s="108">
        <v>0.28999999999999998</v>
      </c>
      <c r="CJ34" s="108">
        <v>0.38</v>
      </c>
      <c r="CK34" s="108">
        <v>0.47</v>
      </c>
      <c r="CL34" s="108">
        <v>0.46</v>
      </c>
      <c r="CM34" s="108">
        <v>0.54</v>
      </c>
      <c r="CN34" s="106" t="s">
        <v>24</v>
      </c>
      <c r="CO34" s="107">
        <v>187694</v>
      </c>
      <c r="CP34" s="107">
        <v>308818</v>
      </c>
      <c r="CQ34" s="107">
        <v>266868</v>
      </c>
      <c r="CR34" s="107">
        <v>243025</v>
      </c>
      <c r="CS34" s="107">
        <v>202709</v>
      </c>
      <c r="CT34" s="106" t="s">
        <v>24</v>
      </c>
      <c r="CU34" s="108">
        <v>4.18</v>
      </c>
      <c r="CV34" s="108">
        <v>2.15</v>
      </c>
      <c r="CW34" s="108">
        <v>2.78</v>
      </c>
      <c r="CX34" s="108">
        <v>13.85</v>
      </c>
      <c r="CY34" s="108">
        <v>18.3</v>
      </c>
    </row>
    <row r="35" spans="1:103" x14ac:dyDescent="0.15">
      <c r="A35" s="109" t="s">
        <v>340</v>
      </c>
      <c r="B35" s="108">
        <v>34.14</v>
      </c>
      <c r="C35" s="108">
        <v>33.130000000000003</v>
      </c>
      <c r="D35" s="108">
        <v>35.700000000000003</v>
      </c>
      <c r="E35" s="108">
        <v>31.65</v>
      </c>
      <c r="F35" s="108">
        <v>34.82</v>
      </c>
      <c r="G35" s="108">
        <v>39.729999999999997</v>
      </c>
      <c r="H35" s="108">
        <v>2.73</v>
      </c>
      <c r="I35" s="108">
        <v>2.34</v>
      </c>
      <c r="J35" s="108">
        <v>2.78</v>
      </c>
      <c r="K35" s="108">
        <v>2.74</v>
      </c>
      <c r="L35" s="108">
        <v>2.75</v>
      </c>
      <c r="M35" s="108">
        <v>2.61</v>
      </c>
      <c r="N35" s="108">
        <v>0.1</v>
      </c>
      <c r="O35" s="108">
        <v>0.11</v>
      </c>
      <c r="P35" s="108">
        <v>0.11</v>
      </c>
      <c r="Q35" s="108">
        <v>0.12</v>
      </c>
      <c r="R35" s="108">
        <v>0.12</v>
      </c>
      <c r="S35" s="108">
        <v>0.1</v>
      </c>
      <c r="T35" s="108">
        <v>10.51</v>
      </c>
      <c r="U35" s="108">
        <v>12.24</v>
      </c>
      <c r="V35" s="108">
        <v>11.81</v>
      </c>
      <c r="W35" s="108">
        <v>13.75</v>
      </c>
      <c r="X35" s="108">
        <v>13.12</v>
      </c>
      <c r="Y35" s="108">
        <v>12.3</v>
      </c>
      <c r="Z35" s="108">
        <v>32.35</v>
      </c>
      <c r="AA35" s="108">
        <v>34.64</v>
      </c>
      <c r="AB35" s="108">
        <v>34.229999999999997</v>
      </c>
      <c r="AC35" s="108">
        <v>35.1</v>
      </c>
      <c r="AD35" s="108">
        <v>34.93</v>
      </c>
      <c r="AE35" s="108">
        <v>35.08</v>
      </c>
      <c r="AF35" s="106" t="s">
        <v>24</v>
      </c>
      <c r="AG35" s="106" t="s">
        <v>24</v>
      </c>
      <c r="AH35" s="106" t="s">
        <v>24</v>
      </c>
      <c r="AI35" s="106" t="s">
        <v>24</v>
      </c>
      <c r="AJ35" s="106" t="s">
        <v>24</v>
      </c>
      <c r="AK35" s="106" t="s">
        <v>24</v>
      </c>
      <c r="AL35" s="108">
        <v>25.28</v>
      </c>
      <c r="AM35" s="108">
        <v>24.77</v>
      </c>
      <c r="AN35" s="108">
        <v>26.47</v>
      </c>
      <c r="AO35" s="108">
        <v>25.23</v>
      </c>
      <c r="AP35" s="108">
        <v>24.75</v>
      </c>
      <c r="AQ35" s="108">
        <v>21.31</v>
      </c>
      <c r="AR35" s="108">
        <v>1.55</v>
      </c>
      <c r="AS35" s="108">
        <v>1.58</v>
      </c>
      <c r="AT35" s="108">
        <v>1.65</v>
      </c>
      <c r="AU35" s="108">
        <v>1.75</v>
      </c>
      <c r="AV35" s="108">
        <v>1.84</v>
      </c>
      <c r="AW35" s="108">
        <v>1.74</v>
      </c>
      <c r="AX35" s="108">
        <v>7.16</v>
      </c>
      <c r="AY35" s="108">
        <v>9.1199999999999992</v>
      </c>
      <c r="AZ35" s="108">
        <v>8.83</v>
      </c>
      <c r="BA35" s="108">
        <v>9.7899999999999991</v>
      </c>
      <c r="BB35" s="108">
        <v>8.89</v>
      </c>
      <c r="BC35" s="108">
        <v>8.4</v>
      </c>
      <c r="BD35" s="108">
        <v>0.09</v>
      </c>
      <c r="BE35" s="108">
        <v>0.11</v>
      </c>
      <c r="BF35" s="108">
        <v>0.11</v>
      </c>
      <c r="BG35" s="108">
        <v>0.11</v>
      </c>
      <c r="BH35" s="108">
        <v>0.11</v>
      </c>
      <c r="BI35" s="108">
        <v>0.1</v>
      </c>
      <c r="BJ35" s="108">
        <v>2.42</v>
      </c>
      <c r="BK35" s="108">
        <v>1.99</v>
      </c>
      <c r="BL35" s="108">
        <v>2.44</v>
      </c>
      <c r="BM35" s="108">
        <v>2.44</v>
      </c>
      <c r="BN35" s="108">
        <v>2.35</v>
      </c>
      <c r="BO35" s="108">
        <v>2.2999999999999998</v>
      </c>
      <c r="BP35" s="108">
        <v>3.25</v>
      </c>
      <c r="BQ35" s="108">
        <v>4.2300000000000004</v>
      </c>
      <c r="BR35" s="108">
        <v>4.3099999999999996</v>
      </c>
      <c r="BS35" s="108">
        <v>5.04</v>
      </c>
      <c r="BT35" s="108">
        <v>4.82</v>
      </c>
      <c r="BU35" s="108">
        <v>4.3499999999999996</v>
      </c>
      <c r="BV35" s="108">
        <v>4.0999999999999996</v>
      </c>
      <c r="BW35" s="108">
        <v>5.41</v>
      </c>
      <c r="BX35" s="108">
        <v>5.61</v>
      </c>
      <c r="BY35" s="108">
        <v>6.6</v>
      </c>
      <c r="BZ35" s="108">
        <v>6.33</v>
      </c>
      <c r="CA35" s="108">
        <v>5.63</v>
      </c>
      <c r="CB35" s="108">
        <v>0.05</v>
      </c>
      <c r="CC35" s="108">
        <v>0.06</v>
      </c>
      <c r="CD35" s="108">
        <v>7.0000000000000007E-2</v>
      </c>
      <c r="CE35" s="108">
        <v>0.08</v>
      </c>
      <c r="CF35" s="108">
        <v>0.08</v>
      </c>
      <c r="CG35" s="108">
        <v>0.06</v>
      </c>
      <c r="CH35" s="108">
        <v>0.45</v>
      </c>
      <c r="CI35" s="108">
        <v>0.46</v>
      </c>
      <c r="CJ35" s="108">
        <v>0.49</v>
      </c>
      <c r="CK35" s="108">
        <v>0.51</v>
      </c>
      <c r="CL35" s="108">
        <v>0.54</v>
      </c>
      <c r="CM35" s="108">
        <v>0.52</v>
      </c>
      <c r="CN35" s="108">
        <v>396402.66</v>
      </c>
      <c r="CO35" s="108">
        <v>386540.28</v>
      </c>
      <c r="CP35" s="108">
        <v>412978.68</v>
      </c>
      <c r="CQ35" s="108">
        <v>437698.73</v>
      </c>
      <c r="CR35" s="108">
        <v>492448.08</v>
      </c>
      <c r="CS35" s="108">
        <v>406967.82</v>
      </c>
      <c r="CT35" s="107">
        <v>0</v>
      </c>
      <c r="CU35" s="107">
        <v>0</v>
      </c>
      <c r="CV35" s="107">
        <v>0</v>
      </c>
      <c r="CW35" s="107">
        <v>0</v>
      </c>
      <c r="CX35" s="107">
        <v>0</v>
      </c>
      <c r="CY35" s="107">
        <v>0</v>
      </c>
    </row>
    <row r="36" spans="1:103" x14ac:dyDescent="0.15">
      <c r="A36" s="109" t="s">
        <v>339</v>
      </c>
      <c r="B36" s="106" t="s">
        <v>24</v>
      </c>
      <c r="C36" s="106" t="s">
        <v>24</v>
      </c>
      <c r="D36" s="106" t="s">
        <v>24</v>
      </c>
      <c r="E36" s="106" t="s">
        <v>24</v>
      </c>
      <c r="F36" s="106" t="s">
        <v>24</v>
      </c>
      <c r="G36" s="106" t="s">
        <v>24</v>
      </c>
      <c r="H36" s="106" t="s">
        <v>24</v>
      </c>
      <c r="I36" s="108">
        <v>2.58</v>
      </c>
      <c r="J36" s="108">
        <v>2.23</v>
      </c>
      <c r="K36" s="108">
        <v>2.11</v>
      </c>
      <c r="L36" s="108">
        <v>1.42</v>
      </c>
      <c r="M36" s="108">
        <v>2.16</v>
      </c>
      <c r="N36" s="106" t="s">
        <v>24</v>
      </c>
      <c r="O36" s="108">
        <v>-5.4</v>
      </c>
      <c r="P36" s="108">
        <v>-1.26</v>
      </c>
      <c r="Q36" s="108">
        <v>-12.32</v>
      </c>
      <c r="R36" s="108">
        <v>-10.67</v>
      </c>
      <c r="S36" s="108">
        <v>-12.65</v>
      </c>
      <c r="T36" s="106" t="s">
        <v>24</v>
      </c>
      <c r="U36" s="108">
        <v>-4.05</v>
      </c>
      <c r="V36" s="108">
        <v>-0.16</v>
      </c>
      <c r="W36" s="107">
        <v>-11</v>
      </c>
      <c r="X36" s="108">
        <v>-9.3800000000000008</v>
      </c>
      <c r="Y36" s="108">
        <v>-11.63</v>
      </c>
      <c r="Z36" s="106" t="s">
        <v>24</v>
      </c>
      <c r="AA36" s="108">
        <v>43.87</v>
      </c>
      <c r="AB36" s="108">
        <v>44.73</v>
      </c>
      <c r="AC36" s="108">
        <v>38.97</v>
      </c>
      <c r="AD36" s="108">
        <v>30.36</v>
      </c>
      <c r="AE36" s="108">
        <v>28.07</v>
      </c>
      <c r="AF36" s="106" t="s">
        <v>24</v>
      </c>
      <c r="AG36" s="106" t="s">
        <v>24</v>
      </c>
      <c r="AH36" s="106" t="s">
        <v>24</v>
      </c>
      <c r="AI36" s="106" t="s">
        <v>24</v>
      </c>
      <c r="AJ36" s="106" t="s">
        <v>24</v>
      </c>
      <c r="AK36" s="106" t="s">
        <v>24</v>
      </c>
      <c r="AL36" s="106" t="s">
        <v>24</v>
      </c>
      <c r="AM36" s="108">
        <v>14.86</v>
      </c>
      <c r="AN36" s="108">
        <v>12.01</v>
      </c>
      <c r="AO36" s="108">
        <v>8.1999999999999993</v>
      </c>
      <c r="AP36" s="108">
        <v>7.51</v>
      </c>
      <c r="AQ36" s="106" t="s">
        <v>24</v>
      </c>
      <c r="AR36" s="106" t="s">
        <v>24</v>
      </c>
      <c r="AS36" s="108">
        <v>17.57</v>
      </c>
      <c r="AT36" s="108">
        <v>37.130000000000003</v>
      </c>
      <c r="AU36" s="108">
        <v>42.27</v>
      </c>
      <c r="AV36" s="108">
        <v>45.04</v>
      </c>
      <c r="AW36" s="106" t="s">
        <v>24</v>
      </c>
      <c r="AX36" s="106" t="s">
        <v>24</v>
      </c>
      <c r="AY36" s="108">
        <v>-5.31</v>
      </c>
      <c r="AZ36" s="108">
        <v>-1.19</v>
      </c>
      <c r="BA36" s="108">
        <v>-12.39</v>
      </c>
      <c r="BB36" s="108">
        <v>-10.73</v>
      </c>
      <c r="BC36" s="108">
        <v>-12.7</v>
      </c>
      <c r="BD36" s="106" t="s">
        <v>24</v>
      </c>
      <c r="BE36" s="108">
        <v>-5.76</v>
      </c>
      <c r="BF36" s="108">
        <v>-1.79</v>
      </c>
      <c r="BG36" s="108">
        <v>-3.83</v>
      </c>
      <c r="BH36" s="108">
        <v>-10.88</v>
      </c>
      <c r="BI36" s="108">
        <v>-11.74</v>
      </c>
      <c r="BJ36" s="106" t="s">
        <v>24</v>
      </c>
      <c r="BK36" s="108">
        <v>2.35</v>
      </c>
      <c r="BL36" s="108">
        <v>1.96</v>
      </c>
      <c r="BM36" s="108">
        <v>1.78</v>
      </c>
      <c r="BN36" s="108">
        <v>0.91</v>
      </c>
      <c r="BO36" s="108">
        <v>1.59</v>
      </c>
      <c r="BP36" s="106" t="s">
        <v>24</v>
      </c>
      <c r="BQ36" s="108">
        <v>-6.19</v>
      </c>
      <c r="BR36" s="108">
        <v>-2.12</v>
      </c>
      <c r="BS36" s="108">
        <v>-23.05</v>
      </c>
      <c r="BT36" s="108">
        <v>-23.66</v>
      </c>
      <c r="BU36" s="106" t="s">
        <v>24</v>
      </c>
      <c r="BV36" s="106" t="s">
        <v>24</v>
      </c>
      <c r="BW36" s="108">
        <v>-12.71</v>
      </c>
      <c r="BX36" s="108">
        <v>-4.46</v>
      </c>
      <c r="BY36" s="107">
        <v>-74</v>
      </c>
      <c r="BZ36" s="108">
        <v>-115.57</v>
      </c>
      <c r="CA36" s="106" t="s">
        <v>24</v>
      </c>
      <c r="CB36" s="106" t="s">
        <v>24</v>
      </c>
      <c r="CC36" s="108">
        <v>-12.48</v>
      </c>
      <c r="CD36" s="108">
        <v>-6.7</v>
      </c>
      <c r="CE36" s="108">
        <v>-21.02</v>
      </c>
      <c r="CF36" s="107">
        <v>-83</v>
      </c>
      <c r="CG36" s="106" t="s">
        <v>24</v>
      </c>
      <c r="CH36" s="106" t="s">
        <v>24</v>
      </c>
      <c r="CI36" s="108">
        <v>1.17</v>
      </c>
      <c r="CJ36" s="108">
        <v>1.77</v>
      </c>
      <c r="CK36" s="108">
        <v>1.86</v>
      </c>
      <c r="CL36" s="108">
        <v>2.21</v>
      </c>
      <c r="CM36" s="106" t="s">
        <v>24</v>
      </c>
      <c r="CN36" s="106" t="s">
        <v>24</v>
      </c>
      <c r="CO36" s="107">
        <v>684195</v>
      </c>
      <c r="CP36" s="107">
        <v>668322</v>
      </c>
      <c r="CQ36" s="107">
        <v>627617</v>
      </c>
      <c r="CR36" s="107">
        <v>563508</v>
      </c>
      <c r="CS36" s="106" t="s">
        <v>24</v>
      </c>
      <c r="CT36" s="106" t="s">
        <v>24</v>
      </c>
      <c r="CU36" s="108">
        <v>0.14000000000000001</v>
      </c>
      <c r="CV36" s="106" t="s">
        <v>24</v>
      </c>
      <c r="CW36" s="106" t="s">
        <v>24</v>
      </c>
      <c r="CX36" s="108">
        <v>0.77</v>
      </c>
      <c r="CY36" s="108">
        <v>0.28000000000000003</v>
      </c>
    </row>
    <row r="37" spans="1:103" x14ac:dyDescent="0.15">
      <c r="A37" s="109" t="s">
        <v>338</v>
      </c>
      <c r="B37" s="106" t="s">
        <v>24</v>
      </c>
      <c r="C37" s="108">
        <v>28.99</v>
      </c>
      <c r="D37" s="108">
        <v>29.4</v>
      </c>
      <c r="E37" s="108">
        <v>-36.26</v>
      </c>
      <c r="F37" s="108">
        <v>40.74</v>
      </c>
      <c r="G37" s="108">
        <v>41.81</v>
      </c>
      <c r="H37" s="106" t="s">
        <v>24</v>
      </c>
      <c r="I37" s="108">
        <v>3.81</v>
      </c>
      <c r="J37" s="108">
        <v>2.96</v>
      </c>
      <c r="K37" s="108">
        <v>3.64</v>
      </c>
      <c r="L37" s="108">
        <v>3.35</v>
      </c>
      <c r="M37" s="108">
        <v>3.34</v>
      </c>
      <c r="N37" s="106" t="s">
        <v>24</v>
      </c>
      <c r="O37" s="108">
        <v>15.19</v>
      </c>
      <c r="P37" s="108">
        <v>15.53</v>
      </c>
      <c r="Q37" s="108">
        <v>13.82</v>
      </c>
      <c r="R37" s="108">
        <v>21.52</v>
      </c>
      <c r="S37" s="108">
        <v>17.350000000000001</v>
      </c>
      <c r="T37" s="106" t="s">
        <v>24</v>
      </c>
      <c r="U37" s="108">
        <v>20.100000000000001</v>
      </c>
      <c r="V37" s="108">
        <v>20.350000000000001</v>
      </c>
      <c r="W37" s="108">
        <v>19.52</v>
      </c>
      <c r="X37" s="108">
        <v>27.15</v>
      </c>
      <c r="Y37" s="108">
        <v>23.46</v>
      </c>
      <c r="Z37" s="106" t="s">
        <v>24</v>
      </c>
      <c r="AA37" s="108">
        <v>24.68</v>
      </c>
      <c r="AB37" s="108">
        <v>24.92</v>
      </c>
      <c r="AC37" s="108">
        <v>25.72</v>
      </c>
      <c r="AD37" s="108">
        <v>28.79</v>
      </c>
      <c r="AE37" s="108">
        <v>26.79</v>
      </c>
      <c r="AF37" s="106" t="s">
        <v>24</v>
      </c>
      <c r="AG37" s="108"/>
      <c r="AH37" s="108"/>
      <c r="AI37" s="108">
        <v>19.079999999999998</v>
      </c>
      <c r="AJ37" s="108">
        <v>40.54</v>
      </c>
      <c r="AK37" s="108">
        <v>27.12</v>
      </c>
      <c r="AL37" s="106" t="s">
        <v>24</v>
      </c>
      <c r="AM37" s="106" t="s">
        <v>24</v>
      </c>
      <c r="AN37" s="106" t="s">
        <v>24</v>
      </c>
      <c r="AO37" s="106" t="s">
        <v>24</v>
      </c>
      <c r="AP37" s="106" t="s">
        <v>24</v>
      </c>
      <c r="AQ37" s="106" t="s">
        <v>24</v>
      </c>
      <c r="AR37" s="106" t="s">
        <v>24</v>
      </c>
      <c r="AS37" s="108">
        <v>2.09</v>
      </c>
      <c r="AT37" s="108">
        <v>2.16</v>
      </c>
      <c r="AU37" s="108">
        <v>2.09</v>
      </c>
      <c r="AV37" s="108">
        <v>2.48</v>
      </c>
      <c r="AW37" s="108">
        <v>2.34</v>
      </c>
      <c r="AX37" s="106" t="s">
        <v>24</v>
      </c>
      <c r="AY37" s="108">
        <v>10.79</v>
      </c>
      <c r="AZ37" s="108">
        <v>10.97</v>
      </c>
      <c r="BA37" s="108">
        <v>46.31</v>
      </c>
      <c r="BB37" s="108">
        <v>12.75</v>
      </c>
      <c r="BC37" s="108">
        <v>10.1</v>
      </c>
      <c r="BD37" s="106" t="s">
        <v>24</v>
      </c>
      <c r="BE37" s="108">
        <v>15.28</v>
      </c>
      <c r="BF37" s="108">
        <v>15.77</v>
      </c>
      <c r="BG37" s="108">
        <v>14.58</v>
      </c>
      <c r="BH37" s="108">
        <v>22.06</v>
      </c>
      <c r="BI37" s="108">
        <v>18.13</v>
      </c>
      <c r="BJ37" s="106" t="s">
        <v>24</v>
      </c>
      <c r="BK37" s="108">
        <v>3.16</v>
      </c>
      <c r="BL37" s="108">
        <v>2.46</v>
      </c>
      <c r="BM37" s="108">
        <v>3.09</v>
      </c>
      <c r="BN37" s="108">
        <v>2.5299999999999998</v>
      </c>
      <c r="BO37" s="108">
        <v>2.46</v>
      </c>
      <c r="BP37" s="106" t="s">
        <v>24</v>
      </c>
      <c r="BQ37" s="108">
        <v>5.3</v>
      </c>
      <c r="BR37" s="108">
        <v>5.51</v>
      </c>
      <c r="BS37" s="108">
        <v>23.29</v>
      </c>
      <c r="BT37" s="108">
        <v>8.52</v>
      </c>
      <c r="BU37" s="108">
        <v>6.76</v>
      </c>
      <c r="BV37" s="106" t="s">
        <v>24</v>
      </c>
      <c r="BW37" s="108">
        <v>7.04</v>
      </c>
      <c r="BX37" s="108">
        <v>7.51</v>
      </c>
      <c r="BY37" s="108">
        <v>34.799999999999997</v>
      </c>
      <c r="BZ37" s="108">
        <v>14.07</v>
      </c>
      <c r="CA37" s="108">
        <v>11.27</v>
      </c>
      <c r="CB37" s="106" t="s">
        <v>24</v>
      </c>
      <c r="CC37" s="108">
        <v>9.23</v>
      </c>
      <c r="CD37" s="108">
        <v>9.61</v>
      </c>
      <c r="CE37" s="108">
        <v>9.17</v>
      </c>
      <c r="CF37" s="108">
        <v>18.989999999999998</v>
      </c>
      <c r="CG37" s="108">
        <v>15.51</v>
      </c>
      <c r="CH37" s="106" t="s">
        <v>24</v>
      </c>
      <c r="CI37" s="108">
        <v>0.49</v>
      </c>
      <c r="CJ37" s="108">
        <v>0.5</v>
      </c>
      <c r="CK37" s="108">
        <v>0.5</v>
      </c>
      <c r="CL37" s="108">
        <v>0.67</v>
      </c>
      <c r="CM37" s="108">
        <v>0.67</v>
      </c>
      <c r="CN37" s="106" t="s">
        <v>24</v>
      </c>
      <c r="CO37" s="107">
        <v>122826</v>
      </c>
      <c r="CP37" s="107">
        <v>121076</v>
      </c>
      <c r="CQ37" s="107">
        <v>114708</v>
      </c>
      <c r="CR37" s="107">
        <v>124085</v>
      </c>
      <c r="CS37" s="107">
        <v>116438</v>
      </c>
      <c r="CT37" s="106" t="s">
        <v>24</v>
      </c>
      <c r="CU37" s="108">
        <v>0.05</v>
      </c>
      <c r="CV37" s="108">
        <v>0.11</v>
      </c>
      <c r="CW37" s="108">
        <v>0.14000000000000001</v>
      </c>
      <c r="CX37" s="108">
        <v>0.27</v>
      </c>
      <c r="CY37" s="108">
        <v>0.3</v>
      </c>
    </row>
    <row r="38" spans="1:103" x14ac:dyDescent="0.15">
      <c r="A38" s="109" t="s">
        <v>337</v>
      </c>
      <c r="B38" s="106" t="s">
        <v>24</v>
      </c>
      <c r="C38" s="106" t="s">
        <v>24</v>
      </c>
      <c r="D38" s="108">
        <v>24.4</v>
      </c>
      <c r="E38" s="106" t="s">
        <v>24</v>
      </c>
      <c r="F38" s="108">
        <v>36.549999999999997</v>
      </c>
      <c r="G38" s="106" t="s">
        <v>24</v>
      </c>
      <c r="H38" s="106" t="s">
        <v>24</v>
      </c>
      <c r="I38" s="108">
        <v>1.93</v>
      </c>
      <c r="J38" s="108">
        <v>2.38</v>
      </c>
      <c r="K38" s="108">
        <v>2.87</v>
      </c>
      <c r="L38" s="108">
        <v>3.32</v>
      </c>
      <c r="M38" s="108">
        <v>2.5299999999999998</v>
      </c>
      <c r="N38" s="106" t="s">
        <v>24</v>
      </c>
      <c r="O38" s="108">
        <v>-1.47</v>
      </c>
      <c r="P38" s="108">
        <v>6.14</v>
      </c>
      <c r="Q38" s="108">
        <v>-3.71</v>
      </c>
      <c r="R38" s="108">
        <v>11.24</v>
      </c>
      <c r="S38" s="108">
        <v>-13.89</v>
      </c>
      <c r="T38" s="106" t="s">
        <v>24</v>
      </c>
      <c r="U38" s="108">
        <v>10.3</v>
      </c>
      <c r="V38" s="108">
        <v>14.43</v>
      </c>
      <c r="W38" s="108">
        <v>5.89</v>
      </c>
      <c r="X38" s="108">
        <v>19.36</v>
      </c>
      <c r="Y38" s="108">
        <v>-4.5199999999999996</v>
      </c>
      <c r="Z38" s="106" t="s">
        <v>24</v>
      </c>
      <c r="AA38" s="108">
        <v>68.31</v>
      </c>
      <c r="AB38" s="108">
        <v>70.97</v>
      </c>
      <c r="AC38" s="108">
        <v>74.97</v>
      </c>
      <c r="AD38" s="108">
        <v>81.489999999999995</v>
      </c>
      <c r="AE38" s="108">
        <v>83.03</v>
      </c>
      <c r="AF38" s="106" t="s">
        <v>24</v>
      </c>
      <c r="AG38" s="108">
        <v>0.79</v>
      </c>
      <c r="AH38" s="108">
        <v>3.63</v>
      </c>
      <c r="AI38" s="106" t="s">
        <v>24</v>
      </c>
      <c r="AJ38" s="108">
        <v>7.05</v>
      </c>
      <c r="AK38" s="106" t="s">
        <v>24</v>
      </c>
      <c r="AL38" s="106" t="s">
        <v>24</v>
      </c>
      <c r="AM38" s="106" t="s">
        <v>24</v>
      </c>
      <c r="AN38" s="106" t="s">
        <v>24</v>
      </c>
      <c r="AO38" s="106" t="s">
        <v>24</v>
      </c>
      <c r="AP38" s="106" t="s">
        <v>24</v>
      </c>
      <c r="AQ38" s="106" t="s">
        <v>24</v>
      </c>
      <c r="AR38" s="106" t="s">
        <v>24</v>
      </c>
      <c r="AS38" s="108">
        <v>4.6399999999999997</v>
      </c>
      <c r="AT38" s="108">
        <v>5.4</v>
      </c>
      <c r="AU38" s="108">
        <v>3.67</v>
      </c>
      <c r="AV38" s="108">
        <v>3.54</v>
      </c>
      <c r="AW38" s="108">
        <v>2.33</v>
      </c>
      <c r="AX38" s="106" t="s">
        <v>24</v>
      </c>
      <c r="AY38" s="108">
        <v>-1.29</v>
      </c>
      <c r="AZ38" s="108">
        <v>1.69</v>
      </c>
      <c r="BA38" s="108">
        <v>-1.52</v>
      </c>
      <c r="BB38" s="108">
        <v>7.13</v>
      </c>
      <c r="BC38" s="108">
        <v>-11.52</v>
      </c>
      <c r="BD38" s="106" t="s">
        <v>24</v>
      </c>
      <c r="BE38" s="108">
        <v>4.4800000000000004</v>
      </c>
      <c r="BF38" s="108">
        <v>10.86</v>
      </c>
      <c r="BG38" s="108">
        <v>-0.2</v>
      </c>
      <c r="BH38" s="108">
        <v>13.49</v>
      </c>
      <c r="BI38" s="108">
        <v>-11.51</v>
      </c>
      <c r="BJ38" s="106" t="s">
        <v>24</v>
      </c>
      <c r="BK38" s="108">
        <v>1.56</v>
      </c>
      <c r="BL38" s="108">
        <v>2.02</v>
      </c>
      <c r="BM38" s="108">
        <v>1.83</v>
      </c>
      <c r="BN38" s="108">
        <v>3.07</v>
      </c>
      <c r="BO38" s="108">
        <v>2.27</v>
      </c>
      <c r="BP38" s="106" t="s">
        <v>24</v>
      </c>
      <c r="BQ38" s="108">
        <v>-0.65</v>
      </c>
      <c r="BR38" s="108">
        <v>0.96</v>
      </c>
      <c r="BS38" s="108">
        <v>-0.68</v>
      </c>
      <c r="BT38" s="108">
        <v>3.93</v>
      </c>
      <c r="BU38" s="108">
        <v>-6.08</v>
      </c>
      <c r="BV38" s="106" t="s">
        <v>24</v>
      </c>
      <c r="BW38" s="108">
        <v>-2.02</v>
      </c>
      <c r="BX38" s="108">
        <v>2.19</v>
      </c>
      <c r="BY38" s="108">
        <v>-1.39</v>
      </c>
      <c r="BZ38" s="108">
        <v>7.26</v>
      </c>
      <c r="CA38" s="108">
        <v>-11.62</v>
      </c>
      <c r="CB38" s="106" t="s">
        <v>24</v>
      </c>
      <c r="CC38" s="108">
        <v>2.88</v>
      </c>
      <c r="CD38" s="108">
        <v>8.09</v>
      </c>
      <c r="CE38" s="108">
        <v>-0.12</v>
      </c>
      <c r="CF38" s="108">
        <v>9.61</v>
      </c>
      <c r="CG38" s="108">
        <v>-8.17</v>
      </c>
      <c r="CH38" s="106" t="s">
        <v>24</v>
      </c>
      <c r="CI38" s="108">
        <v>0.5</v>
      </c>
      <c r="CJ38" s="108">
        <v>0.56999999999999995</v>
      </c>
      <c r="CK38" s="108">
        <v>0.45</v>
      </c>
      <c r="CL38" s="108">
        <v>0.55000000000000004</v>
      </c>
      <c r="CM38" s="108">
        <v>0.53</v>
      </c>
      <c r="CN38" s="106" t="s">
        <v>24</v>
      </c>
      <c r="CO38" s="107">
        <v>241328</v>
      </c>
      <c r="CP38" s="107">
        <v>305930</v>
      </c>
      <c r="CQ38" s="107">
        <v>210935</v>
      </c>
      <c r="CR38" s="107">
        <v>229383</v>
      </c>
      <c r="CS38" s="107">
        <v>188331</v>
      </c>
      <c r="CT38" s="106" t="s">
        <v>24</v>
      </c>
      <c r="CU38" s="108">
        <v>2.13</v>
      </c>
      <c r="CV38" s="108">
        <v>0.74</v>
      </c>
      <c r="CW38" s="108">
        <v>0.74</v>
      </c>
      <c r="CX38" s="108">
        <v>0.42</v>
      </c>
      <c r="CY38" s="108">
        <v>0.44</v>
      </c>
    </row>
    <row r="39" spans="1:103" x14ac:dyDescent="0.15">
      <c r="A39" s="109" t="s">
        <v>336</v>
      </c>
      <c r="B39" s="108">
        <v>43.89</v>
      </c>
      <c r="C39" s="108">
        <v>39.25</v>
      </c>
      <c r="D39" s="108">
        <v>18.14</v>
      </c>
      <c r="E39" s="108">
        <v>16.100000000000001</v>
      </c>
      <c r="F39" s="108">
        <v>51.73</v>
      </c>
      <c r="G39" s="108">
        <v>635.28</v>
      </c>
      <c r="H39" s="108">
        <v>3.12</v>
      </c>
      <c r="I39" s="108">
        <v>2.98</v>
      </c>
      <c r="J39" s="108">
        <v>3.28</v>
      </c>
      <c r="K39" s="108">
        <v>2.88</v>
      </c>
      <c r="L39" s="108">
        <v>2.85</v>
      </c>
      <c r="M39" s="108">
        <v>3.44</v>
      </c>
      <c r="N39" s="108">
        <v>0.08</v>
      </c>
      <c r="O39" s="108">
        <v>0.03</v>
      </c>
      <c r="P39" s="108">
        <v>0.05</v>
      </c>
      <c r="Q39" s="108">
        <v>0.09</v>
      </c>
      <c r="R39" s="108">
        <v>0.03</v>
      </c>
      <c r="S39" s="107">
        <v>0</v>
      </c>
      <c r="T39" s="108">
        <v>3.04</v>
      </c>
      <c r="U39" s="108">
        <v>-2.87</v>
      </c>
      <c r="V39" s="108">
        <v>-1.19</v>
      </c>
      <c r="W39" s="108">
        <v>3.58</v>
      </c>
      <c r="X39" s="108">
        <v>-2.9</v>
      </c>
      <c r="Y39" s="108">
        <v>-6.14</v>
      </c>
      <c r="Z39" s="108">
        <v>37.24</v>
      </c>
      <c r="AA39" s="108">
        <v>36.32</v>
      </c>
      <c r="AB39" s="108">
        <v>37.299999999999997</v>
      </c>
      <c r="AC39" s="108">
        <v>36.979999999999997</v>
      </c>
      <c r="AD39" s="108">
        <v>36.6</v>
      </c>
      <c r="AE39" s="108">
        <v>36.9</v>
      </c>
      <c r="AF39" s="108">
        <v>121.27</v>
      </c>
      <c r="AG39" s="107">
        <v>49</v>
      </c>
      <c r="AH39" s="108">
        <v>50.5</v>
      </c>
      <c r="AI39" s="108">
        <v>48.97</v>
      </c>
      <c r="AJ39" s="108">
        <v>38.479999999999997</v>
      </c>
      <c r="AK39" s="108">
        <v>29.02</v>
      </c>
      <c r="AL39" s="108">
        <v>4.74</v>
      </c>
      <c r="AM39" s="108">
        <v>4.66</v>
      </c>
      <c r="AN39" s="108">
        <v>4.6100000000000003</v>
      </c>
      <c r="AO39" s="108">
        <v>5.65</v>
      </c>
      <c r="AP39" s="108">
        <v>6.93</v>
      </c>
      <c r="AQ39" s="108">
        <v>7.1</v>
      </c>
      <c r="AR39" s="108">
        <v>4.28</v>
      </c>
      <c r="AS39" s="108">
        <v>4.09</v>
      </c>
      <c r="AT39" s="108">
        <v>4.05</v>
      </c>
      <c r="AU39" s="108">
        <v>4.0199999999999996</v>
      </c>
      <c r="AV39" s="108">
        <v>3.45</v>
      </c>
      <c r="AW39" s="108">
        <v>3.62</v>
      </c>
      <c r="AX39" s="108">
        <v>0.05</v>
      </c>
      <c r="AY39" s="108">
        <v>0.02</v>
      </c>
      <c r="AZ39" s="108">
        <v>0.14000000000000001</v>
      </c>
      <c r="BA39" s="108">
        <v>0.13</v>
      </c>
      <c r="BB39" s="108">
        <v>7.0000000000000007E-2</v>
      </c>
      <c r="BC39" s="108">
        <v>0.26</v>
      </c>
      <c r="BD39" s="108">
        <v>7.0000000000000007E-2</v>
      </c>
      <c r="BE39" s="108">
        <v>0.04</v>
      </c>
      <c r="BF39" s="108">
        <v>0.05</v>
      </c>
      <c r="BG39" s="108">
        <v>7.0000000000000007E-2</v>
      </c>
      <c r="BH39" s="108">
        <v>0.05</v>
      </c>
      <c r="BI39" s="108">
        <v>0.04</v>
      </c>
      <c r="BJ39" s="108">
        <v>2.37</v>
      </c>
      <c r="BK39" s="108">
        <v>2.1800000000000002</v>
      </c>
      <c r="BL39" s="108">
        <v>2.5099999999999998</v>
      </c>
      <c r="BM39" s="108">
        <v>2.19</v>
      </c>
      <c r="BN39" s="108">
        <v>2.31</v>
      </c>
      <c r="BO39" s="108">
        <v>2.74</v>
      </c>
      <c r="BP39" s="108">
        <v>0.04</v>
      </c>
      <c r="BQ39" s="108">
        <v>0.02</v>
      </c>
      <c r="BR39" s="108">
        <v>0.09</v>
      </c>
      <c r="BS39" s="108">
        <v>0.09</v>
      </c>
      <c r="BT39" s="108">
        <v>0.05</v>
      </c>
      <c r="BU39" s="108">
        <v>0.18</v>
      </c>
      <c r="BV39" s="108">
        <v>7.0000000000000007E-2</v>
      </c>
      <c r="BW39" s="108">
        <v>0.03</v>
      </c>
      <c r="BX39" s="108">
        <v>0.14000000000000001</v>
      </c>
      <c r="BY39" s="108">
        <v>0.15</v>
      </c>
      <c r="BZ39" s="108">
        <v>0.08</v>
      </c>
      <c r="CA39" s="108">
        <v>0.28999999999999998</v>
      </c>
      <c r="CB39" s="108">
        <v>7.0000000000000007E-2</v>
      </c>
      <c r="CC39" s="108">
        <v>0.03</v>
      </c>
      <c r="CD39" s="108">
        <v>0.04</v>
      </c>
      <c r="CE39" s="108">
        <v>0.06</v>
      </c>
      <c r="CF39" s="108">
        <v>0.04</v>
      </c>
      <c r="CG39" s="108">
        <v>0.03</v>
      </c>
      <c r="CH39" s="108">
        <v>0.79</v>
      </c>
      <c r="CI39" s="108">
        <v>0.71</v>
      </c>
      <c r="CJ39" s="108">
        <v>0.65</v>
      </c>
      <c r="CK39" s="108">
        <v>0.7</v>
      </c>
      <c r="CL39" s="108">
        <v>0.65</v>
      </c>
      <c r="CM39" s="108">
        <v>0.68</v>
      </c>
      <c r="CN39" s="108">
        <v>197975.4</v>
      </c>
      <c r="CO39" s="108">
        <v>185846.37</v>
      </c>
      <c r="CP39" s="108">
        <v>196903.13</v>
      </c>
      <c r="CQ39" s="108">
        <v>216870.82</v>
      </c>
      <c r="CR39" s="108">
        <v>200877.13</v>
      </c>
      <c r="CS39" s="108">
        <v>194856.72</v>
      </c>
      <c r="CT39" s="107">
        <v>0</v>
      </c>
      <c r="CU39" s="107">
        <v>0</v>
      </c>
      <c r="CV39" s="107">
        <v>0</v>
      </c>
      <c r="CW39" s="107">
        <v>0</v>
      </c>
      <c r="CX39" s="107">
        <v>0</v>
      </c>
      <c r="CY39" s="107">
        <v>0</v>
      </c>
    </row>
    <row r="40" spans="1:103" x14ac:dyDescent="0.15">
      <c r="A40" s="109" t="s">
        <v>335</v>
      </c>
      <c r="B40" s="106" t="s">
        <v>24</v>
      </c>
      <c r="C40" s="108">
        <v>7712.02</v>
      </c>
      <c r="D40" s="108">
        <v>26.62</v>
      </c>
      <c r="E40" s="108">
        <v>27.35</v>
      </c>
      <c r="F40" s="108">
        <v>22.7</v>
      </c>
      <c r="G40" s="108">
        <v>28.48</v>
      </c>
      <c r="H40" s="106" t="s">
        <v>24</v>
      </c>
      <c r="I40" s="108">
        <v>1.49</v>
      </c>
      <c r="J40" s="108">
        <v>1.62</v>
      </c>
      <c r="K40" s="108">
        <v>1.62</v>
      </c>
      <c r="L40" s="108">
        <v>1.48</v>
      </c>
      <c r="M40" s="108">
        <v>1.88</v>
      </c>
      <c r="N40" s="106" t="s">
        <v>24</v>
      </c>
      <c r="O40" s="108">
        <v>0.02</v>
      </c>
      <c r="P40" s="108">
        <v>4.6500000000000004</v>
      </c>
      <c r="Q40" s="108">
        <v>4.6500000000000004</v>
      </c>
      <c r="R40" s="108">
        <v>3.84</v>
      </c>
      <c r="S40" s="108">
        <v>3.5</v>
      </c>
      <c r="T40" s="106" t="s">
        <v>24</v>
      </c>
      <c r="U40" s="108">
        <v>-0.34</v>
      </c>
      <c r="V40" s="108">
        <v>31.46</v>
      </c>
      <c r="W40" s="108">
        <v>29.81</v>
      </c>
      <c r="X40" s="108">
        <v>26.24</v>
      </c>
      <c r="Y40" s="108">
        <v>22.26</v>
      </c>
      <c r="Z40" s="106" t="s">
        <v>24</v>
      </c>
      <c r="AA40" s="108">
        <v>24.5</v>
      </c>
      <c r="AB40" s="108">
        <v>60.35</v>
      </c>
      <c r="AC40" s="108">
        <v>50.25</v>
      </c>
      <c r="AD40" s="108">
        <v>53.26</v>
      </c>
      <c r="AE40" s="108">
        <v>53.19</v>
      </c>
      <c r="AF40" s="106" t="s">
        <v>24</v>
      </c>
      <c r="AG40" s="108"/>
      <c r="AH40" s="108"/>
      <c r="AI40" s="108"/>
      <c r="AJ40" s="108"/>
      <c r="AK40" s="108"/>
      <c r="AL40" s="106" t="s">
        <v>24</v>
      </c>
      <c r="AM40" s="108">
        <v>0.26</v>
      </c>
      <c r="AN40" s="108">
        <v>0.14000000000000001</v>
      </c>
      <c r="AO40" s="108">
        <v>0.24</v>
      </c>
      <c r="AP40" s="108">
        <v>0.28000000000000003</v>
      </c>
      <c r="AQ40" s="108">
        <v>0.31</v>
      </c>
      <c r="AR40" s="106" t="s">
        <v>24</v>
      </c>
      <c r="AS40" s="108">
        <v>3.94</v>
      </c>
      <c r="AT40" s="108">
        <v>3.37</v>
      </c>
      <c r="AU40" s="108">
        <v>2.95</v>
      </c>
      <c r="AV40" s="108">
        <v>2.39</v>
      </c>
      <c r="AW40" s="108">
        <v>2.1</v>
      </c>
      <c r="AX40" s="106" t="s">
        <v>24</v>
      </c>
      <c r="AY40" s="108">
        <v>20.56</v>
      </c>
      <c r="AZ40" s="108">
        <v>21.99</v>
      </c>
      <c r="BA40" s="108">
        <v>20.41</v>
      </c>
      <c r="BB40" s="108">
        <v>19.41</v>
      </c>
      <c r="BC40" s="108">
        <v>14.4</v>
      </c>
      <c r="BD40" s="106" t="s">
        <v>24</v>
      </c>
      <c r="BE40" s="108">
        <v>0.45</v>
      </c>
      <c r="BF40" s="108">
        <v>5.17</v>
      </c>
      <c r="BG40" s="107">
        <v>5</v>
      </c>
      <c r="BH40" s="108">
        <v>3.86</v>
      </c>
      <c r="BI40" s="108">
        <v>3.67</v>
      </c>
      <c r="BJ40" s="106" t="s">
        <v>24</v>
      </c>
      <c r="BK40" s="108">
        <v>0.38</v>
      </c>
      <c r="BL40" s="108">
        <v>0.41</v>
      </c>
      <c r="BM40" s="108">
        <v>0.4</v>
      </c>
      <c r="BN40" s="108">
        <v>0.26</v>
      </c>
      <c r="BO40" s="108">
        <v>0.4</v>
      </c>
      <c r="BP40" s="106" t="s">
        <v>24</v>
      </c>
      <c r="BQ40" s="108">
        <v>3.66</v>
      </c>
      <c r="BR40" s="108">
        <v>4.1399999999999997</v>
      </c>
      <c r="BS40" s="108">
        <v>4.75</v>
      </c>
      <c r="BT40" s="108">
        <v>5.25</v>
      </c>
      <c r="BU40" s="108">
        <v>4.42</v>
      </c>
      <c r="BV40" s="106" t="s">
        <v>24</v>
      </c>
      <c r="BW40" s="108">
        <v>19.32</v>
      </c>
      <c r="BX40" s="108">
        <v>19.05</v>
      </c>
      <c r="BY40" s="108">
        <v>18.05</v>
      </c>
      <c r="BZ40" s="108">
        <v>16.8</v>
      </c>
      <c r="CA40" s="108">
        <v>14.02</v>
      </c>
      <c r="CB40" s="106" t="s">
        <v>24</v>
      </c>
      <c r="CC40" s="108">
        <v>0.16</v>
      </c>
      <c r="CD40" s="108">
        <v>1.86</v>
      </c>
      <c r="CE40" s="108">
        <v>2.1</v>
      </c>
      <c r="CF40" s="108">
        <v>1.72</v>
      </c>
      <c r="CG40" s="108">
        <v>1.81</v>
      </c>
      <c r="CH40" s="106" t="s">
        <v>24</v>
      </c>
      <c r="CI40" s="108">
        <v>0.18</v>
      </c>
      <c r="CJ40" s="108">
        <v>0.19</v>
      </c>
      <c r="CK40" s="108">
        <v>0.23</v>
      </c>
      <c r="CL40" s="108">
        <v>0.27</v>
      </c>
      <c r="CM40" s="108">
        <v>0.31</v>
      </c>
      <c r="CN40" s="106" t="s">
        <v>24</v>
      </c>
      <c r="CO40" s="106" t="s">
        <v>24</v>
      </c>
      <c r="CP40" s="106" t="s">
        <v>24</v>
      </c>
      <c r="CQ40" s="106" t="s">
        <v>24</v>
      </c>
      <c r="CR40" s="106" t="s">
        <v>24</v>
      </c>
      <c r="CS40" s="106" t="s">
        <v>24</v>
      </c>
      <c r="CT40" s="106" t="s">
        <v>24</v>
      </c>
      <c r="CU40" s="108">
        <v>0.25</v>
      </c>
      <c r="CV40" s="108">
        <v>0.23</v>
      </c>
      <c r="CW40" s="108">
        <v>0.19</v>
      </c>
      <c r="CX40" s="108">
        <v>0.14000000000000001</v>
      </c>
      <c r="CY40" s="108">
        <v>0.14000000000000001</v>
      </c>
    </row>
    <row r="41" spans="1:103" x14ac:dyDescent="0.15">
      <c r="A41" s="109" t="s">
        <v>334</v>
      </c>
      <c r="B41" s="106" t="s">
        <v>24</v>
      </c>
      <c r="C41" s="108">
        <v>-218.18</v>
      </c>
      <c r="D41" s="108">
        <v>-9.64</v>
      </c>
      <c r="E41" s="108">
        <v>-14.15</v>
      </c>
      <c r="F41" s="108">
        <v>32.9</v>
      </c>
      <c r="G41" s="108">
        <v>24.78</v>
      </c>
      <c r="H41" s="106" t="s">
        <v>24</v>
      </c>
      <c r="I41" s="108">
        <v>2.57</v>
      </c>
      <c r="J41" s="108">
        <v>3.12</v>
      </c>
      <c r="K41" s="108">
        <v>2.36</v>
      </c>
      <c r="L41" s="108">
        <v>1.42</v>
      </c>
      <c r="M41" s="108">
        <v>1.31</v>
      </c>
      <c r="N41" s="106" t="s">
        <v>24</v>
      </c>
      <c r="O41" s="108">
        <v>1.04</v>
      </c>
      <c r="P41" s="108">
        <v>12.15</v>
      </c>
      <c r="Q41" s="108">
        <v>19.48</v>
      </c>
      <c r="R41" s="108">
        <v>13.56</v>
      </c>
      <c r="S41" s="108">
        <v>10.49</v>
      </c>
      <c r="T41" s="106" t="s">
        <v>24</v>
      </c>
      <c r="U41" s="108">
        <v>20.99</v>
      </c>
      <c r="V41" s="108">
        <v>27.53</v>
      </c>
      <c r="W41" s="108">
        <v>33.94</v>
      </c>
      <c r="X41" s="108">
        <v>28.14</v>
      </c>
      <c r="Y41" s="108">
        <v>26.57</v>
      </c>
      <c r="Z41" s="106" t="s">
        <v>24</v>
      </c>
      <c r="AA41" s="108">
        <v>96.32</v>
      </c>
      <c r="AB41" s="108">
        <v>57.01</v>
      </c>
      <c r="AC41" s="108">
        <v>55.11</v>
      </c>
      <c r="AD41" s="108">
        <v>57.96</v>
      </c>
      <c r="AE41" s="108">
        <v>59.52</v>
      </c>
      <c r="AF41" s="106" t="s">
        <v>24</v>
      </c>
      <c r="AG41" s="108">
        <v>0.9</v>
      </c>
      <c r="AH41" s="108">
        <v>2.12</v>
      </c>
      <c r="AI41" s="108">
        <v>2.16</v>
      </c>
      <c r="AJ41" s="108">
        <v>2.83</v>
      </c>
      <c r="AK41" s="108">
        <v>2.21</v>
      </c>
      <c r="AL41" s="106" t="s">
        <v>24</v>
      </c>
      <c r="AM41" s="106" t="s">
        <v>24</v>
      </c>
      <c r="AN41" s="106" t="s">
        <v>24</v>
      </c>
      <c r="AO41" s="106" t="s">
        <v>24</v>
      </c>
      <c r="AP41" s="106" t="s">
        <v>24</v>
      </c>
      <c r="AQ41" s="106" t="s">
        <v>24</v>
      </c>
      <c r="AR41" s="106" t="s">
        <v>24</v>
      </c>
      <c r="AS41" s="108">
        <v>5.86</v>
      </c>
      <c r="AT41" s="108">
        <v>4.3</v>
      </c>
      <c r="AU41" s="108">
        <v>3.76</v>
      </c>
      <c r="AV41" s="108">
        <v>3.8</v>
      </c>
      <c r="AW41" s="108">
        <v>3.02</v>
      </c>
      <c r="AX41" s="106" t="s">
        <v>24</v>
      </c>
      <c r="AY41" s="108">
        <v>1.1100000000000001</v>
      </c>
      <c r="AZ41" s="108">
        <v>11.17</v>
      </c>
      <c r="BA41" s="108">
        <v>21.07</v>
      </c>
      <c r="BB41" s="108">
        <v>8.9600000000000009</v>
      </c>
      <c r="BC41" s="108">
        <v>7.73</v>
      </c>
      <c r="BD41" s="106" t="s">
        <v>24</v>
      </c>
      <c r="BE41" s="108">
        <v>8.92</v>
      </c>
      <c r="BF41" s="108">
        <v>20.28</v>
      </c>
      <c r="BG41" s="108">
        <v>16.77</v>
      </c>
      <c r="BH41" s="108">
        <v>21.81</v>
      </c>
      <c r="BI41" s="108">
        <v>19.059999999999999</v>
      </c>
      <c r="BJ41" s="106" t="s">
        <v>24</v>
      </c>
      <c r="BK41" s="108">
        <v>2.17</v>
      </c>
      <c r="BL41" s="108">
        <v>2.88</v>
      </c>
      <c r="BM41" s="108">
        <v>1.71</v>
      </c>
      <c r="BN41" s="108">
        <v>1.2</v>
      </c>
      <c r="BO41" s="108">
        <v>1.06</v>
      </c>
      <c r="BP41" s="106" t="s">
        <v>24</v>
      </c>
      <c r="BQ41" s="108">
        <v>0.39</v>
      </c>
      <c r="BR41" s="108">
        <v>5.1100000000000003</v>
      </c>
      <c r="BS41" s="108">
        <v>9.0399999999999991</v>
      </c>
      <c r="BT41" s="108">
        <v>4.29</v>
      </c>
      <c r="BU41" s="108">
        <v>3.15</v>
      </c>
      <c r="BV41" s="106" t="s">
        <v>24</v>
      </c>
      <c r="BW41" s="108">
        <v>2.99</v>
      </c>
      <c r="BX41" s="108">
        <v>21.28</v>
      </c>
      <c r="BY41" s="108">
        <v>53.42</v>
      </c>
      <c r="BZ41" s="108">
        <v>43.93</v>
      </c>
      <c r="CA41" s="108">
        <v>35.97</v>
      </c>
      <c r="CB41" s="106" t="s">
        <v>24</v>
      </c>
      <c r="CC41" s="108">
        <v>3.88</v>
      </c>
      <c r="CD41" s="108">
        <v>11.12</v>
      </c>
      <c r="CE41" s="108">
        <v>8.81</v>
      </c>
      <c r="CF41" s="108">
        <v>12.98</v>
      </c>
      <c r="CG41" s="108">
        <v>9.68</v>
      </c>
      <c r="CH41" s="106" t="s">
        <v>24</v>
      </c>
      <c r="CI41" s="108">
        <v>0.35</v>
      </c>
      <c r="CJ41" s="108">
        <v>0.46</v>
      </c>
      <c r="CK41" s="108">
        <v>0.43</v>
      </c>
      <c r="CL41" s="108">
        <v>0.48</v>
      </c>
      <c r="CM41" s="108">
        <v>0.41</v>
      </c>
      <c r="CN41" s="106" t="s">
        <v>24</v>
      </c>
      <c r="CO41" s="107">
        <v>359322</v>
      </c>
      <c r="CP41" s="107">
        <v>339453</v>
      </c>
      <c r="CQ41" s="107">
        <v>307204</v>
      </c>
      <c r="CR41" s="107">
        <v>324937</v>
      </c>
      <c r="CS41" s="107">
        <v>277392</v>
      </c>
      <c r="CT41" s="106" t="s">
        <v>24</v>
      </c>
      <c r="CU41" s="108">
        <v>8.2799999999999994</v>
      </c>
      <c r="CV41" s="108">
        <v>2.38</v>
      </c>
      <c r="CW41" s="108">
        <v>2.58</v>
      </c>
      <c r="CX41" s="108">
        <v>7.15</v>
      </c>
      <c r="CY41" s="108">
        <v>7.33</v>
      </c>
    </row>
    <row r="42" spans="1:103" x14ac:dyDescent="0.15">
      <c r="A42" s="109" t="s">
        <v>333</v>
      </c>
      <c r="B42" s="108">
        <v>21.88</v>
      </c>
      <c r="C42" s="108">
        <v>4.4400000000000004</v>
      </c>
      <c r="D42" s="108">
        <v>21.98</v>
      </c>
      <c r="E42" s="108">
        <v>50.01</v>
      </c>
      <c r="F42" s="108">
        <v>31.36</v>
      </c>
      <c r="G42" s="106" t="s">
        <v>24</v>
      </c>
      <c r="H42" s="108">
        <v>0.92</v>
      </c>
      <c r="I42" s="108">
        <v>0.86</v>
      </c>
      <c r="J42" s="108">
        <v>0.92</v>
      </c>
      <c r="K42" s="108">
        <v>0.83</v>
      </c>
      <c r="L42" s="108">
        <v>0.87</v>
      </c>
      <c r="M42" s="108">
        <v>0.88</v>
      </c>
      <c r="N42" s="108">
        <v>0.1</v>
      </c>
      <c r="O42" s="108">
        <v>0.12</v>
      </c>
      <c r="P42" s="108">
        <v>0.08</v>
      </c>
      <c r="Q42" s="108">
        <v>0.03</v>
      </c>
      <c r="R42" s="108">
        <v>0.04</v>
      </c>
      <c r="S42" s="108">
        <v>-0.01</v>
      </c>
      <c r="T42" s="108">
        <v>18.739999999999998</v>
      </c>
      <c r="U42" s="108">
        <v>19.940000000000001</v>
      </c>
      <c r="V42" s="108">
        <v>16.440000000000001</v>
      </c>
      <c r="W42" s="108">
        <v>11.52</v>
      </c>
      <c r="X42" s="108">
        <v>12.48</v>
      </c>
      <c r="Y42" s="108">
        <v>6.92</v>
      </c>
      <c r="Z42" s="108">
        <v>28.27</v>
      </c>
      <c r="AA42" s="108">
        <v>27.72</v>
      </c>
      <c r="AB42" s="108">
        <v>27.08</v>
      </c>
      <c r="AC42" s="108">
        <v>25.52</v>
      </c>
      <c r="AD42" s="108">
        <v>25.06</v>
      </c>
      <c r="AE42" s="108">
        <v>25.05</v>
      </c>
      <c r="AF42" s="106" t="s">
        <v>24</v>
      </c>
      <c r="AG42" s="106" t="s">
        <v>24</v>
      </c>
      <c r="AH42" s="106" t="s">
        <v>24</v>
      </c>
      <c r="AI42" s="108"/>
      <c r="AJ42" s="108">
        <v>22.75</v>
      </c>
      <c r="AK42" s="108">
        <v>6.03</v>
      </c>
      <c r="AL42" s="108">
        <v>9.5299999999999994</v>
      </c>
      <c r="AM42" s="108">
        <v>9.3000000000000007</v>
      </c>
      <c r="AN42" s="108">
        <v>9.34</v>
      </c>
      <c r="AO42" s="108">
        <v>8.5500000000000007</v>
      </c>
      <c r="AP42" s="108">
        <v>9.01</v>
      </c>
      <c r="AQ42" s="108">
        <v>8.8000000000000007</v>
      </c>
      <c r="AR42" s="108">
        <v>9.77</v>
      </c>
      <c r="AS42" s="108">
        <v>11.43</v>
      </c>
      <c r="AT42" s="108">
        <v>11.41</v>
      </c>
      <c r="AU42" s="108">
        <v>9.6300000000000008</v>
      </c>
      <c r="AV42" s="108">
        <v>10.36</v>
      </c>
      <c r="AW42" s="108">
        <v>11.03</v>
      </c>
      <c r="AX42" s="108">
        <v>7.05</v>
      </c>
      <c r="AY42" s="108">
        <v>10.57</v>
      </c>
      <c r="AZ42" s="108">
        <v>5.74</v>
      </c>
      <c r="BA42" s="108">
        <v>0.96</v>
      </c>
      <c r="BB42" s="108">
        <v>1.82</v>
      </c>
      <c r="BC42" s="108">
        <v>-1.53</v>
      </c>
      <c r="BD42" s="108">
        <v>0.1</v>
      </c>
      <c r="BE42" s="108">
        <v>0.1</v>
      </c>
      <c r="BF42" s="108">
        <v>0.09</v>
      </c>
      <c r="BG42" s="108">
        <v>0.04</v>
      </c>
      <c r="BH42" s="108">
        <v>0.04</v>
      </c>
      <c r="BI42" s="108">
        <v>0.01</v>
      </c>
      <c r="BJ42" s="108">
        <v>0.73</v>
      </c>
      <c r="BK42" s="108">
        <v>0.67</v>
      </c>
      <c r="BL42" s="108">
        <v>0.71</v>
      </c>
      <c r="BM42" s="108">
        <v>0.61</v>
      </c>
      <c r="BN42" s="108">
        <v>0.62</v>
      </c>
      <c r="BO42" s="108">
        <v>0.64</v>
      </c>
      <c r="BP42" s="108">
        <v>2.64</v>
      </c>
      <c r="BQ42" s="108">
        <v>4.58</v>
      </c>
      <c r="BR42" s="108">
        <v>2.67</v>
      </c>
      <c r="BS42" s="108">
        <v>0.43</v>
      </c>
      <c r="BT42" s="108">
        <v>0.91</v>
      </c>
      <c r="BU42" s="108">
        <v>-0.81</v>
      </c>
      <c r="BV42" s="108">
        <v>14.75</v>
      </c>
      <c r="BW42" s="108">
        <v>27.3</v>
      </c>
      <c r="BX42" s="108">
        <v>17.96</v>
      </c>
      <c r="BY42" s="108">
        <v>2.95</v>
      </c>
      <c r="BZ42" s="108">
        <v>6.17</v>
      </c>
      <c r="CA42" s="108">
        <v>-5.51</v>
      </c>
      <c r="CB42" s="108">
        <v>0.16</v>
      </c>
      <c r="CC42" s="108">
        <v>0.19</v>
      </c>
      <c r="CD42" s="108">
        <v>0.18</v>
      </c>
      <c r="CE42" s="108">
        <v>0.08</v>
      </c>
      <c r="CF42" s="108">
        <v>0.09</v>
      </c>
      <c r="CG42" s="108">
        <v>0.02</v>
      </c>
      <c r="CH42" s="108">
        <v>0.37</v>
      </c>
      <c r="CI42" s="108">
        <v>0.43</v>
      </c>
      <c r="CJ42" s="108">
        <v>0.47</v>
      </c>
      <c r="CK42" s="108">
        <v>0.44</v>
      </c>
      <c r="CL42" s="108">
        <v>0.5</v>
      </c>
      <c r="CM42" s="108">
        <v>0.53</v>
      </c>
      <c r="CN42" s="108">
        <v>743553.92</v>
      </c>
      <c r="CO42" s="108">
        <v>763759.87</v>
      </c>
      <c r="CP42" s="108">
        <v>734416.07</v>
      </c>
      <c r="CQ42" s="108">
        <v>597054.68000000005</v>
      </c>
      <c r="CR42" s="108">
        <v>650476.68999999994</v>
      </c>
      <c r="CS42" s="108">
        <v>628996.42000000004</v>
      </c>
      <c r="CT42" s="107">
        <v>0</v>
      </c>
      <c r="CU42" s="107">
        <v>0</v>
      </c>
      <c r="CV42" s="107">
        <v>0</v>
      </c>
      <c r="CW42" s="107">
        <v>0</v>
      </c>
      <c r="CX42" s="107">
        <v>0</v>
      </c>
      <c r="CY42" s="107">
        <v>0</v>
      </c>
    </row>
    <row r="43" spans="1:103" x14ac:dyDescent="0.15">
      <c r="A43" s="109" t="s">
        <v>332</v>
      </c>
      <c r="B43" s="106" t="s">
        <v>24</v>
      </c>
      <c r="C43" s="106" t="s">
        <v>24</v>
      </c>
      <c r="D43" s="108">
        <v>-64.58</v>
      </c>
      <c r="E43" s="106" t="s">
        <v>24</v>
      </c>
      <c r="F43" s="106" t="s">
        <v>24</v>
      </c>
      <c r="G43" s="106" t="s">
        <v>24</v>
      </c>
      <c r="H43" s="106" t="s">
        <v>24</v>
      </c>
      <c r="I43" s="108">
        <v>0.17</v>
      </c>
      <c r="J43" s="108">
        <v>0.14000000000000001</v>
      </c>
      <c r="K43" s="108">
        <v>0.12</v>
      </c>
      <c r="L43" s="108">
        <v>0.14000000000000001</v>
      </c>
      <c r="M43" s="108">
        <v>0.34</v>
      </c>
      <c r="N43" s="106" t="s">
        <v>24</v>
      </c>
      <c r="O43" s="108">
        <v>-1.49</v>
      </c>
      <c r="P43" s="108">
        <v>7.04</v>
      </c>
      <c r="Q43" s="108">
        <v>-3.74</v>
      </c>
      <c r="R43" s="108">
        <v>-5.33</v>
      </c>
      <c r="S43" s="108">
        <v>-10.71</v>
      </c>
      <c r="T43" s="106" t="s">
        <v>24</v>
      </c>
      <c r="U43" s="108">
        <v>26.96</v>
      </c>
      <c r="V43" s="108">
        <v>38.840000000000003</v>
      </c>
      <c r="W43" s="108">
        <v>33.28</v>
      </c>
      <c r="X43" s="108">
        <v>32.340000000000003</v>
      </c>
      <c r="Y43" s="108">
        <v>26.24</v>
      </c>
      <c r="Z43" s="106" t="s">
        <v>24</v>
      </c>
      <c r="AA43" s="108">
        <v>81.569999999999993</v>
      </c>
      <c r="AB43" s="108">
        <v>81.87</v>
      </c>
      <c r="AC43" s="108">
        <v>77.38</v>
      </c>
      <c r="AD43" s="108">
        <v>78.489999999999995</v>
      </c>
      <c r="AE43" s="108">
        <v>79.06</v>
      </c>
      <c r="AF43" s="106" t="s">
        <v>24</v>
      </c>
      <c r="AG43" s="108">
        <v>0.95</v>
      </c>
      <c r="AH43" s="108">
        <v>0.94</v>
      </c>
      <c r="AI43" s="108">
        <v>0.54</v>
      </c>
      <c r="AJ43" s="108">
        <v>0.85</v>
      </c>
      <c r="AK43" s="108">
        <v>0.68</v>
      </c>
      <c r="AL43" s="106" t="s">
        <v>24</v>
      </c>
      <c r="AM43" s="106" t="s">
        <v>24</v>
      </c>
      <c r="AN43" s="106" t="s">
        <v>24</v>
      </c>
      <c r="AO43" s="106" t="s">
        <v>24</v>
      </c>
      <c r="AP43" s="106" t="s">
        <v>24</v>
      </c>
      <c r="AQ43" s="106" t="s">
        <v>24</v>
      </c>
      <c r="AR43" s="106" t="s">
        <v>24</v>
      </c>
      <c r="AS43" s="108">
        <v>6.9</v>
      </c>
      <c r="AT43" s="108">
        <v>6.21</v>
      </c>
      <c r="AU43" s="108">
        <v>5.4</v>
      </c>
      <c r="AV43" s="108">
        <v>5.07</v>
      </c>
      <c r="AW43" s="108">
        <v>4.68</v>
      </c>
      <c r="AX43" s="106" t="s">
        <v>24</v>
      </c>
      <c r="AY43" s="108">
        <v>-0.59</v>
      </c>
      <c r="AZ43" s="108">
        <v>11.58</v>
      </c>
      <c r="BA43" s="108">
        <v>14.57</v>
      </c>
      <c r="BB43" s="108">
        <v>-11.3</v>
      </c>
      <c r="BC43" s="108">
        <v>-18.350000000000001</v>
      </c>
      <c r="BD43" s="106" t="s">
        <v>24</v>
      </c>
      <c r="BE43" s="108">
        <v>24.89</v>
      </c>
      <c r="BF43" s="108">
        <v>27.42</v>
      </c>
      <c r="BG43" s="108">
        <v>18.29</v>
      </c>
      <c r="BH43" s="108">
        <v>29.15</v>
      </c>
      <c r="BI43" s="108">
        <v>22.98</v>
      </c>
      <c r="BJ43" s="106" t="s">
        <v>24</v>
      </c>
      <c r="BK43" s="108">
        <v>0.11</v>
      </c>
      <c r="BL43" s="108">
        <v>0.1</v>
      </c>
      <c r="BM43" s="108">
        <v>0.09</v>
      </c>
      <c r="BN43" s="108">
        <v>0.11</v>
      </c>
      <c r="BO43" s="108">
        <v>0.26</v>
      </c>
      <c r="BP43" s="106" t="s">
        <v>24</v>
      </c>
      <c r="BQ43" s="108">
        <v>-0.2</v>
      </c>
      <c r="BR43" s="108">
        <v>3.75</v>
      </c>
      <c r="BS43" s="108">
        <v>4.43</v>
      </c>
      <c r="BT43" s="108">
        <v>-3.61</v>
      </c>
      <c r="BU43" s="108">
        <v>-5.97</v>
      </c>
      <c r="BV43" s="106" t="s">
        <v>24</v>
      </c>
      <c r="BW43" s="106" t="s">
        <v>24</v>
      </c>
      <c r="BX43" s="106" t="s">
        <v>24</v>
      </c>
      <c r="BY43" s="106" t="s">
        <v>24</v>
      </c>
      <c r="BZ43" s="106" t="s">
        <v>24</v>
      </c>
      <c r="CA43" s="106" t="s">
        <v>24</v>
      </c>
      <c r="CB43" s="106" t="s">
        <v>24</v>
      </c>
      <c r="CC43" s="108">
        <v>22.94</v>
      </c>
      <c r="CD43" s="108">
        <v>23.32</v>
      </c>
      <c r="CE43" s="108">
        <v>15.02</v>
      </c>
      <c r="CF43" s="108">
        <v>24.55</v>
      </c>
      <c r="CG43" s="108">
        <v>17.75</v>
      </c>
      <c r="CH43" s="106" t="s">
        <v>24</v>
      </c>
      <c r="CI43" s="108">
        <v>0.34</v>
      </c>
      <c r="CJ43" s="108">
        <v>0.32</v>
      </c>
      <c r="CK43" s="108">
        <v>0.3</v>
      </c>
      <c r="CL43" s="108">
        <v>0.32</v>
      </c>
      <c r="CM43" s="108">
        <v>0.33</v>
      </c>
      <c r="CN43" s="106" t="s">
        <v>24</v>
      </c>
      <c r="CO43" s="107">
        <v>347373</v>
      </c>
      <c r="CP43" s="107">
        <v>322102</v>
      </c>
      <c r="CQ43" s="107">
        <v>273799</v>
      </c>
      <c r="CR43" s="107">
        <v>297983</v>
      </c>
      <c r="CS43" s="107">
        <v>259081</v>
      </c>
      <c r="CT43" s="106" t="s">
        <v>24</v>
      </c>
      <c r="CU43" s="106" t="s">
        <v>24</v>
      </c>
      <c r="CV43" s="106" t="s">
        <v>24</v>
      </c>
      <c r="CW43" s="106" t="s">
        <v>24</v>
      </c>
      <c r="CX43" s="106" t="s">
        <v>24</v>
      </c>
      <c r="CY43" s="106" t="s">
        <v>24</v>
      </c>
    </row>
    <row r="44" spans="1:103" x14ac:dyDescent="0.15">
      <c r="A44" s="109" t="s">
        <v>331</v>
      </c>
      <c r="B44" s="106" t="s">
        <v>24</v>
      </c>
      <c r="C44" s="108">
        <v>24.47</v>
      </c>
      <c r="D44" s="108">
        <v>21.69</v>
      </c>
      <c r="E44" s="108">
        <v>-45.7</v>
      </c>
      <c r="F44" s="108">
        <v>30.15</v>
      </c>
      <c r="G44" s="108">
        <v>32.22</v>
      </c>
      <c r="H44" s="106" t="s">
        <v>24</v>
      </c>
      <c r="I44" s="108">
        <v>1.96</v>
      </c>
      <c r="J44" s="108">
        <v>1.72</v>
      </c>
      <c r="K44" s="108">
        <v>1.96</v>
      </c>
      <c r="L44" s="108">
        <v>1.28</v>
      </c>
      <c r="M44" s="108">
        <v>1.33</v>
      </c>
      <c r="N44" s="106" t="s">
        <v>24</v>
      </c>
      <c r="O44" s="108">
        <v>15.9</v>
      </c>
      <c r="P44" s="108">
        <v>22.42</v>
      </c>
      <c r="Q44" s="108">
        <v>15.78</v>
      </c>
      <c r="R44" s="108">
        <v>21.54</v>
      </c>
      <c r="S44" s="108">
        <v>20.58</v>
      </c>
      <c r="T44" s="106" t="s">
        <v>24</v>
      </c>
      <c r="U44" s="108">
        <v>29.64</v>
      </c>
      <c r="V44" s="108">
        <v>35.06</v>
      </c>
      <c r="W44" s="107">
        <v>34</v>
      </c>
      <c r="X44" s="108">
        <v>34.6</v>
      </c>
      <c r="Y44" s="108">
        <v>38.15</v>
      </c>
      <c r="Z44" s="106" t="s">
        <v>24</v>
      </c>
      <c r="AA44" s="108">
        <v>46.59</v>
      </c>
      <c r="AB44" s="108">
        <v>51.71</v>
      </c>
      <c r="AC44" s="108">
        <v>50.94</v>
      </c>
      <c r="AD44" s="108">
        <v>68.91</v>
      </c>
      <c r="AE44" s="108">
        <v>69.739999999999995</v>
      </c>
      <c r="AF44" s="106" t="s">
        <v>24</v>
      </c>
      <c r="AG44" s="108">
        <v>2.72</v>
      </c>
      <c r="AH44" s="108">
        <v>3.64</v>
      </c>
      <c r="AI44" s="108">
        <v>2.6</v>
      </c>
      <c r="AJ44" s="108">
        <v>4.1900000000000004</v>
      </c>
      <c r="AK44" s="108">
        <v>3.34</v>
      </c>
      <c r="AL44" s="106" t="s">
        <v>24</v>
      </c>
      <c r="AM44" s="106" t="s">
        <v>24</v>
      </c>
      <c r="AN44" s="106" t="s">
        <v>24</v>
      </c>
      <c r="AO44" s="106" t="s">
        <v>24</v>
      </c>
      <c r="AP44" s="106" t="s">
        <v>24</v>
      </c>
      <c r="AQ44" s="106" t="s">
        <v>24</v>
      </c>
      <c r="AR44" s="106" t="s">
        <v>24</v>
      </c>
      <c r="AS44" s="108">
        <v>5.34</v>
      </c>
      <c r="AT44" s="108">
        <v>6.21</v>
      </c>
      <c r="AU44" s="108">
        <v>4.8499999999999996</v>
      </c>
      <c r="AV44" s="108">
        <v>7.34</v>
      </c>
      <c r="AW44" s="108">
        <v>2.93</v>
      </c>
      <c r="AX44" s="106" t="s">
        <v>24</v>
      </c>
      <c r="AY44" s="108">
        <v>12.45</v>
      </c>
      <c r="AZ44" s="108">
        <v>18.38</v>
      </c>
      <c r="BA44" s="108">
        <v>14.38</v>
      </c>
      <c r="BB44" s="108">
        <v>13.07</v>
      </c>
      <c r="BC44" s="108">
        <v>15.06</v>
      </c>
      <c r="BD44" s="106" t="s">
        <v>24</v>
      </c>
      <c r="BE44" s="108">
        <v>24.31</v>
      </c>
      <c r="BF44" s="108">
        <v>31.64</v>
      </c>
      <c r="BG44" s="108">
        <v>28.69</v>
      </c>
      <c r="BH44" s="108">
        <v>29.09</v>
      </c>
      <c r="BI44" s="108">
        <v>29.93</v>
      </c>
      <c r="BJ44" s="106" t="s">
        <v>24</v>
      </c>
      <c r="BK44" s="108">
        <v>1.73</v>
      </c>
      <c r="BL44" s="108">
        <v>1.56</v>
      </c>
      <c r="BM44" s="108">
        <v>1.63</v>
      </c>
      <c r="BN44" s="108">
        <v>1.1200000000000001</v>
      </c>
      <c r="BO44" s="108">
        <v>1.1499999999999999</v>
      </c>
      <c r="BP44" s="106" t="s">
        <v>24</v>
      </c>
      <c r="BQ44" s="108">
        <v>4.68</v>
      </c>
      <c r="BR44" s="108">
        <v>7.92</v>
      </c>
      <c r="BS44" s="108">
        <v>4.05</v>
      </c>
      <c r="BT44" s="108">
        <v>5.0999999999999996</v>
      </c>
      <c r="BU44" s="108">
        <v>4.62</v>
      </c>
      <c r="BV44" s="106" t="s">
        <v>24</v>
      </c>
      <c r="BW44" s="108">
        <v>19.53</v>
      </c>
      <c r="BX44" s="108">
        <v>34.729999999999997</v>
      </c>
      <c r="BY44" s="108">
        <v>16.760000000000002</v>
      </c>
      <c r="BZ44" s="108">
        <v>19.510000000000002</v>
      </c>
      <c r="CA44" s="108">
        <v>16.739999999999998</v>
      </c>
      <c r="CB44" s="106" t="s">
        <v>24</v>
      </c>
      <c r="CC44" s="108">
        <v>11.12</v>
      </c>
      <c r="CD44" s="108">
        <v>16.850000000000001</v>
      </c>
      <c r="CE44" s="108">
        <v>10.58</v>
      </c>
      <c r="CF44" s="108">
        <v>15.26</v>
      </c>
      <c r="CG44" s="108">
        <v>12.81</v>
      </c>
      <c r="CH44" s="106" t="s">
        <v>24</v>
      </c>
      <c r="CI44" s="108">
        <v>0.38</v>
      </c>
      <c r="CJ44" s="108">
        <v>0.43</v>
      </c>
      <c r="CK44" s="108">
        <v>0.28000000000000003</v>
      </c>
      <c r="CL44" s="108">
        <v>0.39</v>
      </c>
      <c r="CM44" s="108">
        <v>0.31</v>
      </c>
      <c r="CN44" s="106" t="s">
        <v>24</v>
      </c>
      <c r="CO44" s="107">
        <v>334084</v>
      </c>
      <c r="CP44" s="107">
        <v>413659</v>
      </c>
      <c r="CQ44" s="107">
        <v>360217</v>
      </c>
      <c r="CR44" s="107">
        <v>329223</v>
      </c>
      <c r="CS44" s="107">
        <v>236412</v>
      </c>
      <c r="CT44" s="106" t="s">
        <v>24</v>
      </c>
      <c r="CU44" s="108">
        <v>2.63</v>
      </c>
      <c r="CV44" s="108">
        <v>2.2000000000000002</v>
      </c>
      <c r="CW44" s="108">
        <v>3.02</v>
      </c>
      <c r="CX44" s="108">
        <v>1.78</v>
      </c>
      <c r="CY44" s="108">
        <v>1.92</v>
      </c>
    </row>
    <row r="45" spans="1:103" x14ac:dyDescent="0.15">
      <c r="A45" s="109" t="s">
        <v>330</v>
      </c>
      <c r="B45" s="106" t="s">
        <v>24</v>
      </c>
      <c r="C45" s="108">
        <v>33.700000000000003</v>
      </c>
      <c r="D45" s="108">
        <v>27.35</v>
      </c>
      <c r="E45" s="108">
        <v>26.74</v>
      </c>
      <c r="F45" s="108">
        <v>14.75</v>
      </c>
      <c r="G45" s="108">
        <v>30.41</v>
      </c>
      <c r="H45" s="106" t="s">
        <v>24</v>
      </c>
      <c r="I45" s="108">
        <v>1.31</v>
      </c>
      <c r="J45" s="108">
        <v>1.32</v>
      </c>
      <c r="K45" s="108">
        <v>1.56</v>
      </c>
      <c r="L45" s="108">
        <v>1.51</v>
      </c>
      <c r="M45" s="108">
        <v>1.71</v>
      </c>
      <c r="N45" s="106" t="s">
        <v>24</v>
      </c>
      <c r="O45" s="108">
        <v>11.49</v>
      </c>
      <c r="P45" s="108">
        <v>8.67</v>
      </c>
      <c r="Q45" s="108">
        <v>9.2200000000000006</v>
      </c>
      <c r="R45" s="108">
        <v>2.0299999999999998</v>
      </c>
      <c r="S45" s="108">
        <v>7.56</v>
      </c>
      <c r="T45" s="106" t="s">
        <v>24</v>
      </c>
      <c r="U45" s="108">
        <v>11.14</v>
      </c>
      <c r="V45" s="108">
        <v>-2.88</v>
      </c>
      <c r="W45" s="108">
        <v>-1.92</v>
      </c>
      <c r="X45" s="108">
        <v>-8.2899999999999991</v>
      </c>
      <c r="Y45" s="108">
        <v>5.91</v>
      </c>
      <c r="Z45" s="106" t="s">
        <v>24</v>
      </c>
      <c r="AA45" s="108">
        <v>59.89</v>
      </c>
      <c r="AB45" s="108">
        <v>58.95</v>
      </c>
      <c r="AC45" s="108">
        <v>59.54</v>
      </c>
      <c r="AD45" s="108">
        <v>55.55</v>
      </c>
      <c r="AE45" s="108">
        <v>49.23</v>
      </c>
      <c r="AF45" s="106" t="s">
        <v>24</v>
      </c>
      <c r="AG45" s="108"/>
      <c r="AH45" s="108"/>
      <c r="AI45" s="107"/>
      <c r="AJ45" s="108">
        <v>38.08</v>
      </c>
      <c r="AK45" s="106" t="s">
        <v>24</v>
      </c>
      <c r="AL45" s="106" t="s">
        <v>24</v>
      </c>
      <c r="AM45" s="108">
        <v>1.83</v>
      </c>
      <c r="AN45" s="108">
        <v>1.68</v>
      </c>
      <c r="AO45" s="108">
        <v>1.36</v>
      </c>
      <c r="AP45" s="108">
        <v>1.31</v>
      </c>
      <c r="AQ45" s="108">
        <v>1.43</v>
      </c>
      <c r="AR45" s="106" t="s">
        <v>24</v>
      </c>
      <c r="AS45" s="108">
        <v>11.96</v>
      </c>
      <c r="AT45" s="108">
        <v>12.66</v>
      </c>
      <c r="AU45" s="108">
        <v>12.35</v>
      </c>
      <c r="AV45" s="108">
        <v>12.04</v>
      </c>
      <c r="AW45" s="108">
        <v>11.57</v>
      </c>
      <c r="AX45" s="106" t="s">
        <v>24</v>
      </c>
      <c r="AY45" s="108">
        <v>6.51</v>
      </c>
      <c r="AZ45" s="108">
        <v>5.48</v>
      </c>
      <c r="BA45" s="108">
        <v>6.28</v>
      </c>
      <c r="BB45" s="108">
        <v>2.0099999999999998</v>
      </c>
      <c r="BC45" s="108">
        <v>4.9800000000000004</v>
      </c>
      <c r="BD45" s="106" t="s">
        <v>24</v>
      </c>
      <c r="BE45" s="108">
        <v>12.05</v>
      </c>
      <c r="BF45" s="108">
        <v>8.5299999999999994</v>
      </c>
      <c r="BG45" s="108">
        <v>8.9600000000000009</v>
      </c>
      <c r="BH45" s="108">
        <v>2.3199999999999998</v>
      </c>
      <c r="BI45" s="108">
        <v>7.67</v>
      </c>
      <c r="BJ45" s="106" t="s">
        <v>24</v>
      </c>
      <c r="BK45" s="108">
        <v>0.91</v>
      </c>
      <c r="BL45" s="108">
        <v>0.91</v>
      </c>
      <c r="BM45" s="108">
        <v>1.1200000000000001</v>
      </c>
      <c r="BN45" s="107">
        <v>1</v>
      </c>
      <c r="BO45" s="108">
        <v>1.18</v>
      </c>
      <c r="BP45" s="106" t="s">
        <v>24</v>
      </c>
      <c r="BQ45" s="108">
        <v>4.76</v>
      </c>
      <c r="BR45" s="108">
        <v>3.91</v>
      </c>
      <c r="BS45" s="108">
        <v>4.12</v>
      </c>
      <c r="BT45" s="108">
        <v>1.29</v>
      </c>
      <c r="BU45" s="108">
        <v>2.88</v>
      </c>
      <c r="BV45" s="106" t="s">
        <v>24</v>
      </c>
      <c r="BW45" s="108">
        <v>9.86</v>
      </c>
      <c r="BX45" s="108">
        <v>8.1</v>
      </c>
      <c r="BY45" s="108">
        <v>8.85</v>
      </c>
      <c r="BZ45" s="108">
        <v>2.57</v>
      </c>
      <c r="CA45" s="108">
        <v>5.33</v>
      </c>
      <c r="CB45" s="106" t="s">
        <v>24</v>
      </c>
      <c r="CC45" s="108">
        <v>16.3</v>
      </c>
      <c r="CD45" s="108">
        <v>11.23</v>
      </c>
      <c r="CE45" s="108">
        <v>10.95</v>
      </c>
      <c r="CF45" s="108">
        <v>2.77</v>
      </c>
      <c r="CG45" s="108">
        <v>8.1999999999999993</v>
      </c>
      <c r="CH45" s="106" t="s">
        <v>24</v>
      </c>
      <c r="CI45" s="108">
        <v>0.73</v>
      </c>
      <c r="CJ45" s="108">
        <v>0.71</v>
      </c>
      <c r="CK45" s="108">
        <v>0.66</v>
      </c>
      <c r="CL45" s="108">
        <v>0.64</v>
      </c>
      <c r="CM45" s="108">
        <v>0.57999999999999996</v>
      </c>
      <c r="CN45" s="106" t="s">
        <v>24</v>
      </c>
      <c r="CO45" s="108">
        <v>724162.71</v>
      </c>
      <c r="CP45" s="108">
        <v>744010.38</v>
      </c>
      <c r="CQ45" s="108">
        <v>850146.92</v>
      </c>
      <c r="CR45" s="108">
        <v>703851.71</v>
      </c>
      <c r="CS45" s="108">
        <v>756184.72</v>
      </c>
      <c r="CT45" s="106" t="s">
        <v>24</v>
      </c>
      <c r="CU45" s="108">
        <v>0.17</v>
      </c>
      <c r="CV45" s="108">
        <v>0.11</v>
      </c>
      <c r="CW45" s="108">
        <v>0.18</v>
      </c>
      <c r="CX45" s="108">
        <v>0.17</v>
      </c>
      <c r="CY45" s="107">
        <v>0</v>
      </c>
    </row>
    <row r="46" spans="1:103" x14ac:dyDescent="0.15">
      <c r="A46" s="109" t="s">
        <v>329</v>
      </c>
      <c r="B46" s="106" t="s">
        <v>24</v>
      </c>
      <c r="C46" s="106" t="s">
        <v>24</v>
      </c>
      <c r="D46" s="106" t="s">
        <v>24</v>
      </c>
      <c r="E46" s="106" t="s">
        <v>24</v>
      </c>
      <c r="F46" s="106" t="s">
        <v>24</v>
      </c>
      <c r="G46" s="106" t="s">
        <v>24</v>
      </c>
      <c r="H46" s="106" t="s">
        <v>24</v>
      </c>
      <c r="I46" s="106" t="s">
        <v>24</v>
      </c>
      <c r="J46" s="106" t="s">
        <v>24</v>
      </c>
      <c r="K46" s="106" t="s">
        <v>24</v>
      </c>
      <c r="L46" s="106" t="s">
        <v>24</v>
      </c>
      <c r="M46" s="106" t="s">
        <v>24</v>
      </c>
      <c r="N46" s="106" t="s">
        <v>24</v>
      </c>
      <c r="O46" s="106" t="s">
        <v>24</v>
      </c>
      <c r="P46" s="106" t="s">
        <v>24</v>
      </c>
      <c r="Q46" s="106" t="s">
        <v>24</v>
      </c>
      <c r="R46" s="106" t="s">
        <v>24</v>
      </c>
      <c r="S46" s="106" t="s">
        <v>24</v>
      </c>
      <c r="T46" s="106" t="s">
        <v>24</v>
      </c>
      <c r="U46" s="106" t="s">
        <v>24</v>
      </c>
      <c r="V46" s="106" t="s">
        <v>24</v>
      </c>
      <c r="W46" s="106" t="s">
        <v>24</v>
      </c>
      <c r="X46" s="106" t="s">
        <v>24</v>
      </c>
      <c r="Y46" s="106" t="s">
        <v>24</v>
      </c>
      <c r="Z46" s="106" t="s">
        <v>24</v>
      </c>
      <c r="AA46" s="106" t="s">
        <v>24</v>
      </c>
      <c r="AB46" s="106" t="s">
        <v>24</v>
      </c>
      <c r="AC46" s="106" t="s">
        <v>24</v>
      </c>
      <c r="AD46" s="106" t="s">
        <v>24</v>
      </c>
      <c r="AE46" s="106" t="s">
        <v>24</v>
      </c>
      <c r="AF46" s="106" t="s">
        <v>24</v>
      </c>
      <c r="AG46" s="106" t="s">
        <v>24</v>
      </c>
      <c r="AH46" s="106" t="s">
        <v>24</v>
      </c>
      <c r="AI46" s="106" t="s">
        <v>24</v>
      </c>
      <c r="AJ46" s="106" t="s">
        <v>24</v>
      </c>
      <c r="AK46" s="106" t="s">
        <v>24</v>
      </c>
      <c r="AL46" s="106" t="s">
        <v>24</v>
      </c>
      <c r="AM46" s="106" t="s">
        <v>24</v>
      </c>
      <c r="AN46" s="106" t="s">
        <v>24</v>
      </c>
      <c r="AO46" s="106" t="s">
        <v>24</v>
      </c>
      <c r="AP46" s="106" t="s">
        <v>24</v>
      </c>
      <c r="AQ46" s="106" t="s">
        <v>24</v>
      </c>
      <c r="AR46" s="106" t="s">
        <v>24</v>
      </c>
      <c r="AS46" s="106" t="s">
        <v>24</v>
      </c>
      <c r="AT46" s="106" t="s">
        <v>24</v>
      </c>
      <c r="AU46" s="106" t="s">
        <v>24</v>
      </c>
      <c r="AV46" s="106" t="s">
        <v>24</v>
      </c>
      <c r="AW46" s="106" t="s">
        <v>24</v>
      </c>
      <c r="AX46" s="106" t="s">
        <v>24</v>
      </c>
      <c r="AY46" s="106" t="s">
        <v>24</v>
      </c>
      <c r="AZ46" s="106" t="s">
        <v>24</v>
      </c>
      <c r="BA46" s="106" t="s">
        <v>24</v>
      </c>
      <c r="BB46" s="106" t="s">
        <v>24</v>
      </c>
      <c r="BC46" s="106" t="s">
        <v>24</v>
      </c>
      <c r="BD46" s="106" t="s">
        <v>24</v>
      </c>
      <c r="BE46" s="106" t="s">
        <v>24</v>
      </c>
      <c r="BF46" s="106" t="s">
        <v>24</v>
      </c>
      <c r="BG46" s="106" t="s">
        <v>24</v>
      </c>
      <c r="BH46" s="106" t="s">
        <v>24</v>
      </c>
      <c r="BI46" s="106" t="s">
        <v>24</v>
      </c>
      <c r="BJ46" s="106" t="s">
        <v>24</v>
      </c>
      <c r="BK46" s="106" t="s">
        <v>24</v>
      </c>
      <c r="BL46" s="106" t="s">
        <v>24</v>
      </c>
      <c r="BM46" s="106" t="s">
        <v>24</v>
      </c>
      <c r="BN46" s="106" t="s">
        <v>24</v>
      </c>
      <c r="BO46" s="106" t="s">
        <v>24</v>
      </c>
      <c r="BP46" s="106" t="s">
        <v>24</v>
      </c>
      <c r="BQ46" s="106" t="s">
        <v>24</v>
      </c>
      <c r="BR46" s="106" t="s">
        <v>24</v>
      </c>
      <c r="BS46" s="106" t="s">
        <v>24</v>
      </c>
      <c r="BT46" s="106" t="s">
        <v>24</v>
      </c>
      <c r="BU46" s="106" t="s">
        <v>24</v>
      </c>
      <c r="BV46" s="106" t="s">
        <v>24</v>
      </c>
      <c r="BW46" s="106" t="s">
        <v>24</v>
      </c>
      <c r="BX46" s="106" t="s">
        <v>24</v>
      </c>
      <c r="BY46" s="106" t="s">
        <v>24</v>
      </c>
      <c r="BZ46" s="106" t="s">
        <v>24</v>
      </c>
      <c r="CA46" s="106" t="s">
        <v>24</v>
      </c>
      <c r="CB46" s="106" t="s">
        <v>24</v>
      </c>
      <c r="CC46" s="106" t="s">
        <v>24</v>
      </c>
      <c r="CD46" s="106" t="s">
        <v>24</v>
      </c>
      <c r="CE46" s="106" t="s">
        <v>24</v>
      </c>
      <c r="CF46" s="106" t="s">
        <v>24</v>
      </c>
      <c r="CG46" s="106" t="s">
        <v>24</v>
      </c>
      <c r="CH46" s="106" t="s">
        <v>24</v>
      </c>
      <c r="CI46" s="106" t="s">
        <v>24</v>
      </c>
      <c r="CJ46" s="106" t="s">
        <v>24</v>
      </c>
      <c r="CK46" s="106" t="s">
        <v>24</v>
      </c>
      <c r="CL46" s="106" t="s">
        <v>24</v>
      </c>
      <c r="CM46" s="106" t="s">
        <v>24</v>
      </c>
      <c r="CN46" s="106" t="s">
        <v>24</v>
      </c>
      <c r="CO46" s="106" t="s">
        <v>24</v>
      </c>
      <c r="CP46" s="106" t="s">
        <v>24</v>
      </c>
      <c r="CQ46" s="106" t="s">
        <v>24</v>
      </c>
      <c r="CR46" s="106" t="s">
        <v>24</v>
      </c>
      <c r="CS46" s="106" t="s">
        <v>24</v>
      </c>
      <c r="CT46" s="106" t="s">
        <v>24</v>
      </c>
      <c r="CU46" s="106" t="s">
        <v>24</v>
      </c>
      <c r="CV46" s="106" t="s">
        <v>24</v>
      </c>
      <c r="CW46" s="106" t="s">
        <v>24</v>
      </c>
      <c r="CX46" s="106" t="s">
        <v>24</v>
      </c>
      <c r="CY46" s="106" t="s">
        <v>24</v>
      </c>
    </row>
    <row r="47" spans="1:103" x14ac:dyDescent="0.15">
      <c r="A47" s="109" t="s">
        <v>328</v>
      </c>
      <c r="B47" s="108">
        <v>33.17</v>
      </c>
      <c r="C47" s="108">
        <v>31.33</v>
      </c>
      <c r="D47" s="108">
        <v>31.88</v>
      </c>
      <c r="E47" s="108">
        <v>30.57</v>
      </c>
      <c r="F47" s="108">
        <v>36.01</v>
      </c>
      <c r="G47" s="108">
        <v>42.3</v>
      </c>
      <c r="H47" s="108">
        <v>2.2200000000000002</v>
      </c>
      <c r="I47" s="108">
        <v>2.02</v>
      </c>
      <c r="J47" s="108">
        <v>1.94</v>
      </c>
      <c r="K47" s="108">
        <v>1.66</v>
      </c>
      <c r="L47" s="108">
        <v>1.79</v>
      </c>
      <c r="M47" s="108">
        <v>1.69</v>
      </c>
      <c r="N47" s="108">
        <v>0.16</v>
      </c>
      <c r="O47" s="108">
        <v>0.15</v>
      </c>
      <c r="P47" s="108">
        <v>0.14000000000000001</v>
      </c>
      <c r="Q47" s="108">
        <v>0.14000000000000001</v>
      </c>
      <c r="R47" s="108">
        <v>0.12</v>
      </c>
      <c r="S47" s="108">
        <v>0.09</v>
      </c>
      <c r="T47" s="108">
        <v>14.56</v>
      </c>
      <c r="U47" s="108">
        <v>14.59</v>
      </c>
      <c r="V47" s="108">
        <v>12.33</v>
      </c>
      <c r="W47" s="108">
        <v>12.86</v>
      </c>
      <c r="X47" s="108">
        <v>10.67</v>
      </c>
      <c r="Y47" s="108">
        <v>7.59</v>
      </c>
      <c r="Z47" s="108">
        <v>36.26</v>
      </c>
      <c r="AA47" s="108">
        <v>37.26</v>
      </c>
      <c r="AB47" s="108">
        <v>35.9</v>
      </c>
      <c r="AC47" s="108">
        <v>34.979999999999997</v>
      </c>
      <c r="AD47" s="108">
        <v>33.979999999999997</v>
      </c>
      <c r="AE47" s="108">
        <v>33.25</v>
      </c>
      <c r="AF47" s="106" t="s">
        <v>24</v>
      </c>
      <c r="AG47" s="108"/>
      <c r="AH47" s="108"/>
      <c r="AI47" s="108"/>
      <c r="AJ47" s="108"/>
      <c r="AK47" s="108">
        <v>43.36</v>
      </c>
      <c r="AL47" s="108">
        <v>8.5</v>
      </c>
      <c r="AM47" s="108">
        <v>9.75</v>
      </c>
      <c r="AN47" s="108">
        <v>11.27</v>
      </c>
      <c r="AO47" s="108">
        <v>12.28</v>
      </c>
      <c r="AP47" s="108">
        <v>11.33</v>
      </c>
      <c r="AQ47" s="108">
        <v>11.42</v>
      </c>
      <c r="AR47" s="108">
        <v>1.57</v>
      </c>
      <c r="AS47" s="108">
        <v>1.52</v>
      </c>
      <c r="AT47" s="108">
        <v>1.42</v>
      </c>
      <c r="AU47" s="108">
        <v>1.53</v>
      </c>
      <c r="AV47" s="108">
        <v>1.47</v>
      </c>
      <c r="AW47" s="108">
        <v>1.33</v>
      </c>
      <c r="AX47" s="108">
        <v>8.0299999999999994</v>
      </c>
      <c r="AY47" s="108">
        <v>7.89</v>
      </c>
      <c r="AZ47" s="108">
        <v>8.6199999999999992</v>
      </c>
      <c r="BA47" s="108">
        <v>8.5299999999999994</v>
      </c>
      <c r="BB47" s="108">
        <v>7.07</v>
      </c>
      <c r="BC47" s="108">
        <v>5.96</v>
      </c>
      <c r="BD47" s="108">
        <v>0.14000000000000001</v>
      </c>
      <c r="BE47" s="108">
        <v>0.15</v>
      </c>
      <c r="BF47" s="108">
        <v>0.13</v>
      </c>
      <c r="BG47" s="108">
        <v>0.12</v>
      </c>
      <c r="BH47" s="108">
        <v>0.12</v>
      </c>
      <c r="BI47" s="108">
        <v>0.08</v>
      </c>
      <c r="BJ47" s="108">
        <v>1.92</v>
      </c>
      <c r="BK47" s="108">
        <v>1.72</v>
      </c>
      <c r="BL47" s="108">
        <v>1.63</v>
      </c>
      <c r="BM47" s="108">
        <v>1.43</v>
      </c>
      <c r="BN47" s="108">
        <v>1.46</v>
      </c>
      <c r="BO47" s="108">
        <v>1.35</v>
      </c>
      <c r="BP47" s="108">
        <v>3.8</v>
      </c>
      <c r="BQ47" s="108">
        <v>3.8</v>
      </c>
      <c r="BR47" s="108">
        <v>4.03</v>
      </c>
      <c r="BS47" s="108">
        <v>4.4000000000000004</v>
      </c>
      <c r="BT47" s="108">
        <v>3.65</v>
      </c>
      <c r="BU47" s="108">
        <v>2.96</v>
      </c>
      <c r="BV47" s="108">
        <v>6.59</v>
      </c>
      <c r="BW47" s="108">
        <v>6.61</v>
      </c>
      <c r="BX47" s="108">
        <v>7.06</v>
      </c>
      <c r="BY47" s="108">
        <v>7.86</v>
      </c>
      <c r="BZ47" s="108">
        <v>6.68</v>
      </c>
      <c r="CA47" s="108">
        <v>5.63</v>
      </c>
      <c r="CB47" s="108">
        <v>0.11</v>
      </c>
      <c r="CC47" s="108">
        <v>0.12</v>
      </c>
      <c r="CD47" s="108">
        <v>0.1</v>
      </c>
      <c r="CE47" s="108">
        <v>0.1</v>
      </c>
      <c r="CF47" s="108">
        <v>0.09</v>
      </c>
      <c r="CG47" s="108">
        <v>0.06</v>
      </c>
      <c r="CH47" s="108">
        <v>0.47</v>
      </c>
      <c r="CI47" s="108">
        <v>0.48</v>
      </c>
      <c r="CJ47" s="108">
        <v>0.47</v>
      </c>
      <c r="CK47" s="108">
        <v>0.52</v>
      </c>
      <c r="CL47" s="108">
        <v>0.52</v>
      </c>
      <c r="CM47" s="108">
        <v>0.5</v>
      </c>
      <c r="CN47" s="108">
        <v>785274.42</v>
      </c>
      <c r="CO47" s="108">
        <v>733075.36</v>
      </c>
      <c r="CP47" s="108">
        <v>700621.15</v>
      </c>
      <c r="CQ47" s="108">
        <v>705472.53</v>
      </c>
      <c r="CR47" s="108">
        <v>680926.63</v>
      </c>
      <c r="CS47" s="108">
        <v>587005.19999999995</v>
      </c>
      <c r="CT47" s="107">
        <v>0</v>
      </c>
      <c r="CU47" s="107">
        <v>0</v>
      </c>
      <c r="CV47" s="107">
        <v>0</v>
      </c>
      <c r="CW47" s="107">
        <v>0</v>
      </c>
      <c r="CX47" s="107">
        <v>0</v>
      </c>
      <c r="CY47" s="107">
        <v>0</v>
      </c>
    </row>
    <row r="48" spans="1:103" x14ac:dyDescent="0.15">
      <c r="A48" s="109" t="s">
        <v>327</v>
      </c>
      <c r="B48" s="108">
        <v>31.8</v>
      </c>
      <c r="C48" s="108">
        <v>31.71</v>
      </c>
      <c r="D48" s="108">
        <v>30.36</v>
      </c>
      <c r="E48" s="108">
        <v>33.659999999999997</v>
      </c>
      <c r="F48" s="108">
        <v>35.21</v>
      </c>
      <c r="G48" s="108">
        <v>32.51</v>
      </c>
      <c r="H48" s="108">
        <v>3.88</v>
      </c>
      <c r="I48" s="108">
        <v>4.0599999999999996</v>
      </c>
      <c r="J48" s="108">
        <v>3.26</v>
      </c>
      <c r="K48" s="108">
        <v>3.23</v>
      </c>
      <c r="L48" s="108">
        <v>2.68</v>
      </c>
      <c r="M48" s="108">
        <v>2.42</v>
      </c>
      <c r="N48" s="108">
        <v>0.19</v>
      </c>
      <c r="O48" s="108">
        <v>0.17</v>
      </c>
      <c r="P48" s="108">
        <v>0.19</v>
      </c>
      <c r="Q48" s="108">
        <v>0.2</v>
      </c>
      <c r="R48" s="108">
        <v>0.16</v>
      </c>
      <c r="S48" s="108">
        <v>0.14000000000000001</v>
      </c>
      <c r="T48" s="108">
        <v>22.56</v>
      </c>
      <c r="U48" s="108">
        <v>20.22</v>
      </c>
      <c r="V48" s="108">
        <v>22.4</v>
      </c>
      <c r="W48" s="108">
        <v>23.66</v>
      </c>
      <c r="X48" s="108">
        <v>19.309999999999999</v>
      </c>
      <c r="Y48" s="108">
        <v>18.559999999999999</v>
      </c>
      <c r="Z48" s="108">
        <v>43.17</v>
      </c>
      <c r="AA48" s="108">
        <v>42.43</v>
      </c>
      <c r="AB48" s="108">
        <v>44.03</v>
      </c>
      <c r="AC48" s="108">
        <v>45.29</v>
      </c>
      <c r="AD48" s="108">
        <v>41.83</v>
      </c>
      <c r="AE48" s="107">
        <v>40</v>
      </c>
      <c r="AF48" s="106" t="s">
        <v>24</v>
      </c>
      <c r="AG48" s="108"/>
      <c r="AH48" s="108"/>
      <c r="AI48" s="108"/>
      <c r="AJ48" s="106" t="s">
        <v>24</v>
      </c>
      <c r="AK48" s="106" t="s">
        <v>24</v>
      </c>
      <c r="AL48" s="108">
        <v>14.4</v>
      </c>
      <c r="AM48" s="108">
        <v>16.28</v>
      </c>
      <c r="AN48" s="108">
        <v>18.059999999999999</v>
      </c>
      <c r="AO48" s="108">
        <v>17.68</v>
      </c>
      <c r="AP48" s="108">
        <v>20.86</v>
      </c>
      <c r="AQ48" s="108">
        <v>21.38</v>
      </c>
      <c r="AR48" s="108">
        <v>1.73</v>
      </c>
      <c r="AS48" s="108">
        <v>1.63</v>
      </c>
      <c r="AT48" s="108">
        <v>1.6</v>
      </c>
      <c r="AU48" s="108">
        <v>1.52</v>
      </c>
      <c r="AV48" s="108">
        <v>1.44</v>
      </c>
      <c r="AW48" s="108">
        <v>1.28</v>
      </c>
      <c r="AX48" s="108">
        <v>13.93</v>
      </c>
      <c r="AY48" s="108">
        <v>12.26</v>
      </c>
      <c r="AZ48" s="108">
        <v>13.83</v>
      </c>
      <c r="BA48" s="108">
        <v>14.24</v>
      </c>
      <c r="BB48" s="108">
        <v>11.27</v>
      </c>
      <c r="BC48" s="108">
        <v>10.86</v>
      </c>
      <c r="BD48" s="108">
        <v>0.19</v>
      </c>
      <c r="BE48" s="108">
        <v>0.16</v>
      </c>
      <c r="BF48" s="108">
        <v>0.18</v>
      </c>
      <c r="BG48" s="108">
        <v>0.19</v>
      </c>
      <c r="BH48" s="108">
        <v>0.16</v>
      </c>
      <c r="BI48" s="108">
        <v>0.13</v>
      </c>
      <c r="BJ48" s="108">
        <v>3.54</v>
      </c>
      <c r="BK48" s="108">
        <v>3.63</v>
      </c>
      <c r="BL48" s="108">
        <v>2.84</v>
      </c>
      <c r="BM48" s="108">
        <v>2.88</v>
      </c>
      <c r="BN48" s="108">
        <v>2.33</v>
      </c>
      <c r="BO48" s="108">
        <v>0.75</v>
      </c>
      <c r="BP48" s="108">
        <v>7.68</v>
      </c>
      <c r="BQ48" s="108">
        <v>6.66</v>
      </c>
      <c r="BR48" s="108">
        <v>7.77</v>
      </c>
      <c r="BS48" s="108">
        <v>8.2100000000000009</v>
      </c>
      <c r="BT48" s="108">
        <v>6.71</v>
      </c>
      <c r="BU48" s="108">
        <v>6.24</v>
      </c>
      <c r="BV48" s="108">
        <v>9.99</v>
      </c>
      <c r="BW48" s="108">
        <v>8.6999999999999993</v>
      </c>
      <c r="BX48" s="108">
        <v>10.33</v>
      </c>
      <c r="BY48" s="108">
        <v>11.17</v>
      </c>
      <c r="BZ48" s="108">
        <v>9.25</v>
      </c>
      <c r="CA48" s="108">
        <v>8.58</v>
      </c>
      <c r="CB48" s="108">
        <v>0.13</v>
      </c>
      <c r="CC48" s="108">
        <v>0.12</v>
      </c>
      <c r="CD48" s="108">
        <v>0.14000000000000001</v>
      </c>
      <c r="CE48" s="108">
        <v>0.15</v>
      </c>
      <c r="CF48" s="108">
        <v>0.13</v>
      </c>
      <c r="CG48" s="108">
        <v>0.1</v>
      </c>
      <c r="CH48" s="108">
        <v>0.55000000000000004</v>
      </c>
      <c r="CI48" s="108">
        <v>0.54</v>
      </c>
      <c r="CJ48" s="108">
        <v>0.56000000000000005</v>
      </c>
      <c r="CK48" s="108">
        <v>0.57999999999999996</v>
      </c>
      <c r="CL48" s="108">
        <v>0.6</v>
      </c>
      <c r="CM48" s="108">
        <v>0.56999999999999995</v>
      </c>
      <c r="CN48" s="108">
        <v>364889.43</v>
      </c>
      <c r="CO48" s="108">
        <v>339780.95</v>
      </c>
      <c r="CP48" s="108">
        <v>348143.19</v>
      </c>
      <c r="CQ48" s="108">
        <v>329200.68</v>
      </c>
      <c r="CR48" s="108">
        <v>355409.98</v>
      </c>
      <c r="CS48" s="106" t="s">
        <v>24</v>
      </c>
      <c r="CT48" s="107">
        <v>0</v>
      </c>
      <c r="CU48" s="107">
        <v>0</v>
      </c>
      <c r="CV48" s="107">
        <v>0</v>
      </c>
      <c r="CW48" s="107">
        <v>0</v>
      </c>
      <c r="CX48" s="107">
        <v>0</v>
      </c>
      <c r="CY48" s="107">
        <v>0</v>
      </c>
    </row>
    <row r="49" spans="1:103" x14ac:dyDescent="0.15">
      <c r="A49" s="109" t="s">
        <v>326</v>
      </c>
      <c r="B49" s="108">
        <v>33.43</v>
      </c>
      <c r="C49" s="108">
        <v>33.799999999999997</v>
      </c>
      <c r="D49" s="108">
        <v>34.659999999999997</v>
      </c>
      <c r="E49" s="108">
        <v>35.04</v>
      </c>
      <c r="F49" s="108">
        <v>33.81</v>
      </c>
      <c r="G49" s="108">
        <v>35.46</v>
      </c>
      <c r="H49" s="108">
        <v>1.96</v>
      </c>
      <c r="I49" s="108">
        <v>1.8</v>
      </c>
      <c r="J49" s="108">
        <v>1.71</v>
      </c>
      <c r="K49" s="108">
        <v>1.88</v>
      </c>
      <c r="L49" s="108">
        <v>1.57</v>
      </c>
      <c r="M49" s="108">
        <v>2.08</v>
      </c>
      <c r="N49" s="108">
        <v>0.12</v>
      </c>
      <c r="O49" s="108">
        <v>0.1</v>
      </c>
      <c r="P49" s="108">
        <v>7.0000000000000007E-2</v>
      </c>
      <c r="Q49" s="108">
        <v>0.06</v>
      </c>
      <c r="R49" s="108">
        <v>0.06</v>
      </c>
      <c r="S49" s="108">
        <v>0.05</v>
      </c>
      <c r="T49" s="108">
        <v>8.64</v>
      </c>
      <c r="U49" s="108">
        <v>6.62</v>
      </c>
      <c r="V49" s="108">
        <v>2.97</v>
      </c>
      <c r="W49" s="108">
        <v>2.68</v>
      </c>
      <c r="X49" s="108">
        <v>1.98</v>
      </c>
      <c r="Y49" s="108">
        <v>1.24</v>
      </c>
      <c r="Z49" s="108">
        <v>29.99</v>
      </c>
      <c r="AA49" s="108">
        <v>31.59</v>
      </c>
      <c r="AB49" s="108">
        <v>31.43</v>
      </c>
      <c r="AC49" s="108">
        <v>31.88</v>
      </c>
      <c r="AD49" s="108">
        <v>30.72</v>
      </c>
      <c r="AE49" s="108">
        <v>30.67</v>
      </c>
      <c r="AF49" s="107">
        <v>6552</v>
      </c>
      <c r="AG49" s="108"/>
      <c r="AH49" s="108"/>
      <c r="AI49" s="108">
        <v>44.87</v>
      </c>
      <c r="AJ49" s="108">
        <v>23.6</v>
      </c>
      <c r="AK49" s="108">
        <v>17.649999999999999</v>
      </c>
      <c r="AL49" s="108">
        <v>16.170000000000002</v>
      </c>
      <c r="AM49" s="108">
        <v>16.14</v>
      </c>
      <c r="AN49" s="108">
        <v>16.61</v>
      </c>
      <c r="AO49" s="108">
        <v>17.079999999999998</v>
      </c>
      <c r="AP49" s="108">
        <v>16.27</v>
      </c>
      <c r="AQ49" s="108">
        <v>15.56</v>
      </c>
      <c r="AR49" s="108">
        <v>1.71</v>
      </c>
      <c r="AS49" s="108">
        <v>1.85</v>
      </c>
      <c r="AT49" s="108">
        <v>1.86</v>
      </c>
      <c r="AU49" s="108">
        <v>1.79</v>
      </c>
      <c r="AV49" s="108">
        <v>1.73</v>
      </c>
      <c r="AW49" s="108">
        <v>1.69</v>
      </c>
      <c r="AX49" s="108">
        <v>8.4600000000000009</v>
      </c>
      <c r="AY49" s="108">
        <v>6.88</v>
      </c>
      <c r="AZ49" s="108">
        <v>4.75</v>
      </c>
      <c r="BA49" s="108">
        <v>4.54</v>
      </c>
      <c r="BB49" s="108">
        <v>4.16</v>
      </c>
      <c r="BC49" s="108">
        <v>3.68</v>
      </c>
      <c r="BD49" s="108">
        <v>0.03</v>
      </c>
      <c r="BE49" s="108">
        <v>0.05</v>
      </c>
      <c r="BF49" s="108">
        <v>0.05</v>
      </c>
      <c r="BG49" s="108">
        <v>0.05</v>
      </c>
      <c r="BH49" s="108">
        <v>0.04</v>
      </c>
      <c r="BI49" s="108">
        <v>0.04</v>
      </c>
      <c r="BJ49" s="108">
        <v>1.57</v>
      </c>
      <c r="BK49" s="108">
        <v>1.45</v>
      </c>
      <c r="BL49" s="108">
        <v>1.33</v>
      </c>
      <c r="BM49" s="108">
        <v>1.46</v>
      </c>
      <c r="BN49" s="108">
        <v>1.2</v>
      </c>
      <c r="BO49" s="108">
        <v>1.51</v>
      </c>
      <c r="BP49" s="108">
        <v>3.81</v>
      </c>
      <c r="BQ49" s="108">
        <v>3.11</v>
      </c>
      <c r="BR49" s="108">
        <v>2.2400000000000002</v>
      </c>
      <c r="BS49" s="108">
        <v>2.38</v>
      </c>
      <c r="BT49" s="108">
        <v>2.2200000000000002</v>
      </c>
      <c r="BU49" s="108">
        <v>2.08</v>
      </c>
      <c r="BV49" s="108">
        <v>5.17</v>
      </c>
      <c r="BW49" s="108">
        <v>4.3099999999999996</v>
      </c>
      <c r="BX49" s="108">
        <v>3.16</v>
      </c>
      <c r="BY49" s="108">
        <v>3.41</v>
      </c>
      <c r="BZ49" s="108">
        <v>3.29</v>
      </c>
      <c r="CA49" s="108">
        <v>3.19</v>
      </c>
      <c r="CB49" s="108">
        <v>0.02</v>
      </c>
      <c r="CC49" s="108">
        <v>0.03</v>
      </c>
      <c r="CD49" s="108">
        <v>0.03</v>
      </c>
      <c r="CE49" s="108">
        <v>0.03</v>
      </c>
      <c r="CF49" s="108">
        <v>0.03</v>
      </c>
      <c r="CG49" s="108">
        <v>0.03</v>
      </c>
      <c r="CH49" s="108">
        <v>0.45</v>
      </c>
      <c r="CI49" s="108">
        <v>0.45</v>
      </c>
      <c r="CJ49" s="108">
        <v>0.47</v>
      </c>
      <c r="CK49" s="108">
        <v>0.52</v>
      </c>
      <c r="CL49" s="108">
        <v>0.53</v>
      </c>
      <c r="CM49" s="108">
        <v>0.56000000000000005</v>
      </c>
      <c r="CN49" s="108">
        <v>365230.28</v>
      </c>
      <c r="CO49" s="108">
        <v>384261.7</v>
      </c>
      <c r="CP49" s="108">
        <v>398626.02</v>
      </c>
      <c r="CQ49" s="108">
        <v>375605.09</v>
      </c>
      <c r="CR49" s="108">
        <v>383597.62</v>
      </c>
      <c r="CS49" s="108">
        <v>348769.82</v>
      </c>
      <c r="CT49" s="107">
        <v>0</v>
      </c>
      <c r="CU49" s="107">
        <v>0</v>
      </c>
      <c r="CV49" s="107">
        <v>0</v>
      </c>
      <c r="CW49" s="107">
        <v>0</v>
      </c>
      <c r="CX49" s="107">
        <v>0</v>
      </c>
      <c r="CY49" s="107">
        <v>0</v>
      </c>
    </row>
    <row r="50" spans="1:103" x14ac:dyDescent="0.15">
      <c r="A50" s="109" t="s">
        <v>325</v>
      </c>
      <c r="B50" s="108">
        <v>30.74</v>
      </c>
      <c r="C50" s="108">
        <v>46.29</v>
      </c>
      <c r="D50" s="108">
        <v>55.56</v>
      </c>
      <c r="E50" s="108">
        <v>24.95</v>
      </c>
      <c r="F50" s="108">
        <v>36.340000000000003</v>
      </c>
      <c r="G50" s="106" t="s">
        <v>24</v>
      </c>
      <c r="H50" s="108">
        <v>1.53</v>
      </c>
      <c r="I50" s="108">
        <v>1.87</v>
      </c>
      <c r="J50" s="108">
        <v>1.87</v>
      </c>
      <c r="K50" s="108">
        <v>2.02</v>
      </c>
      <c r="L50" s="108">
        <v>2.27</v>
      </c>
      <c r="M50" s="106" t="s">
        <v>24</v>
      </c>
      <c r="N50" s="108">
        <v>0.03</v>
      </c>
      <c r="O50" s="108">
        <v>0.03</v>
      </c>
      <c r="P50" s="108">
        <v>0.02</v>
      </c>
      <c r="Q50" s="108">
        <v>0.04</v>
      </c>
      <c r="R50" s="108">
        <v>0.05</v>
      </c>
      <c r="S50" s="106" t="s">
        <v>24</v>
      </c>
      <c r="T50" s="108">
        <v>2.46</v>
      </c>
      <c r="U50" s="108">
        <v>2.23</v>
      </c>
      <c r="V50" s="108">
        <v>0.73</v>
      </c>
      <c r="W50" s="108">
        <v>3.76</v>
      </c>
      <c r="X50" s="108">
        <v>4.1900000000000004</v>
      </c>
      <c r="Y50" s="106" t="s">
        <v>24</v>
      </c>
      <c r="Z50" s="108">
        <v>17.510000000000002</v>
      </c>
      <c r="AA50" s="108">
        <v>16.579999999999998</v>
      </c>
      <c r="AB50" s="108">
        <v>17.73</v>
      </c>
      <c r="AC50" s="108">
        <v>17.71</v>
      </c>
      <c r="AD50" s="108">
        <v>17.98</v>
      </c>
      <c r="AE50" s="106" t="s">
        <v>24</v>
      </c>
      <c r="AF50" s="106" t="s">
        <v>24</v>
      </c>
      <c r="AG50" s="106" t="s">
        <v>24</v>
      </c>
      <c r="AH50" s="106" t="s">
        <v>24</v>
      </c>
      <c r="AI50" s="106" t="s">
        <v>24</v>
      </c>
      <c r="AJ50" s="106" t="s">
        <v>24</v>
      </c>
      <c r="AK50" s="106" t="s">
        <v>24</v>
      </c>
      <c r="AL50" s="108">
        <v>53.87</v>
      </c>
      <c r="AM50" s="107">
        <v>63</v>
      </c>
      <c r="AN50" s="108">
        <v>70.62</v>
      </c>
      <c r="AO50" s="108">
        <v>93.64</v>
      </c>
      <c r="AP50" s="106" t="s">
        <v>24</v>
      </c>
      <c r="AQ50" s="106" t="s">
        <v>24</v>
      </c>
      <c r="AR50" s="108">
        <v>28.18</v>
      </c>
      <c r="AS50" s="108">
        <v>27.54</v>
      </c>
      <c r="AT50" s="108">
        <v>27.57</v>
      </c>
      <c r="AU50" s="108">
        <v>27.57</v>
      </c>
      <c r="AV50" s="106" t="s">
        <v>24</v>
      </c>
      <c r="AW50" s="106" t="s">
        <v>24</v>
      </c>
      <c r="AX50" s="108">
        <v>2.0099999999999998</v>
      </c>
      <c r="AY50" s="108">
        <v>1.56</v>
      </c>
      <c r="AZ50" s="108">
        <v>-0.82</v>
      </c>
      <c r="BA50" s="108">
        <v>2.95</v>
      </c>
      <c r="BB50" s="108">
        <v>3.38</v>
      </c>
      <c r="BC50" s="106" t="s">
        <v>24</v>
      </c>
      <c r="BD50" s="108">
        <v>0.03</v>
      </c>
      <c r="BE50" s="108">
        <v>0.02</v>
      </c>
      <c r="BF50" s="108">
        <v>0.02</v>
      </c>
      <c r="BG50" s="108">
        <v>0.03</v>
      </c>
      <c r="BH50" s="108">
        <v>0.04</v>
      </c>
      <c r="BI50" s="106" t="s">
        <v>24</v>
      </c>
      <c r="BJ50" s="108">
        <v>1.33</v>
      </c>
      <c r="BK50" s="108">
        <v>1.67</v>
      </c>
      <c r="BL50" s="108">
        <v>1.63</v>
      </c>
      <c r="BM50" s="108">
        <v>1.8</v>
      </c>
      <c r="BN50" s="108">
        <v>2.08</v>
      </c>
      <c r="BO50" s="106" t="s">
        <v>24</v>
      </c>
      <c r="BP50" s="108">
        <v>4.4800000000000004</v>
      </c>
      <c r="BQ50" s="108">
        <v>3.35</v>
      </c>
      <c r="BR50" s="108">
        <v>-1.59</v>
      </c>
      <c r="BS50" s="108">
        <v>5.03</v>
      </c>
      <c r="BT50" s="106" t="s">
        <v>24</v>
      </c>
      <c r="BU50" s="106" t="s">
        <v>24</v>
      </c>
      <c r="BV50" s="108">
        <v>8.59</v>
      </c>
      <c r="BW50" s="108">
        <v>6.37</v>
      </c>
      <c r="BX50" s="108">
        <v>-2.91</v>
      </c>
      <c r="BY50" s="108">
        <v>8.8000000000000007</v>
      </c>
      <c r="BZ50" s="106" t="s">
        <v>24</v>
      </c>
      <c r="CA50" s="106" t="s">
        <v>24</v>
      </c>
      <c r="CB50" s="108">
        <v>0.11</v>
      </c>
      <c r="CC50" s="108">
        <v>0.06</v>
      </c>
      <c r="CD50" s="108">
        <v>0.06</v>
      </c>
      <c r="CE50" s="108">
        <v>7.0000000000000007E-2</v>
      </c>
      <c r="CF50" s="106" t="s">
        <v>24</v>
      </c>
      <c r="CG50" s="106" t="s">
        <v>24</v>
      </c>
      <c r="CH50" s="108">
        <v>2.23</v>
      </c>
      <c r="CI50" s="108">
        <v>2.15</v>
      </c>
      <c r="CJ50" s="108">
        <v>1.95</v>
      </c>
      <c r="CK50" s="108">
        <v>1.7</v>
      </c>
      <c r="CL50" s="106" t="s">
        <v>24</v>
      </c>
      <c r="CM50" s="106" t="s">
        <v>24</v>
      </c>
      <c r="CN50" s="108">
        <v>48964.54</v>
      </c>
      <c r="CO50" s="108">
        <v>46811.72</v>
      </c>
      <c r="CP50" s="108">
        <v>49927.26</v>
      </c>
      <c r="CQ50" s="108">
        <v>47805.42</v>
      </c>
      <c r="CR50" s="108">
        <v>49128.97</v>
      </c>
      <c r="CS50" s="106" t="s">
        <v>24</v>
      </c>
      <c r="CT50" s="107">
        <v>0</v>
      </c>
      <c r="CU50" s="107">
        <v>0</v>
      </c>
      <c r="CV50" s="107">
        <v>0</v>
      </c>
      <c r="CW50" s="107">
        <v>0</v>
      </c>
      <c r="CX50" s="107">
        <v>0</v>
      </c>
      <c r="CY50" s="106" t="s">
        <v>24</v>
      </c>
    </row>
    <row r="51" spans="1:103" x14ac:dyDescent="0.15">
      <c r="A51" s="109" t="s">
        <v>324</v>
      </c>
      <c r="B51" s="106" t="s">
        <v>24</v>
      </c>
      <c r="C51" s="108">
        <v>-0.27</v>
      </c>
      <c r="D51" s="108">
        <v>11.93</v>
      </c>
      <c r="E51" s="108">
        <v>31.99</v>
      </c>
      <c r="F51" s="108">
        <v>28.16</v>
      </c>
      <c r="G51" s="108">
        <v>29.02</v>
      </c>
      <c r="H51" s="106" t="s">
        <v>24</v>
      </c>
      <c r="I51" s="108">
        <v>1.32</v>
      </c>
      <c r="J51" s="108">
        <v>1.48</v>
      </c>
      <c r="K51" s="108">
        <v>1.58</v>
      </c>
      <c r="L51" s="108">
        <v>1.64</v>
      </c>
      <c r="M51" s="108">
        <v>1.61</v>
      </c>
      <c r="N51" s="106" t="s">
        <v>24</v>
      </c>
      <c r="O51" s="108">
        <v>12.03</v>
      </c>
      <c r="P51" s="108">
        <v>15.77</v>
      </c>
      <c r="Q51" s="108">
        <v>14.45</v>
      </c>
      <c r="R51" s="108">
        <v>16.940000000000001</v>
      </c>
      <c r="S51" s="108">
        <v>14.57</v>
      </c>
      <c r="T51" s="106" t="s">
        <v>24</v>
      </c>
      <c r="U51" s="108">
        <v>16.559999999999999</v>
      </c>
      <c r="V51" s="108">
        <v>20.010000000000002</v>
      </c>
      <c r="W51" s="108">
        <v>18.809999999999999</v>
      </c>
      <c r="X51" s="108">
        <v>21.37</v>
      </c>
      <c r="Y51" s="108">
        <v>18.95</v>
      </c>
      <c r="Z51" s="106" t="s">
        <v>24</v>
      </c>
      <c r="AA51" s="108">
        <v>38.07</v>
      </c>
      <c r="AB51" s="108">
        <v>37.229999999999997</v>
      </c>
      <c r="AC51" s="108">
        <v>38.369999999999997</v>
      </c>
      <c r="AD51" s="108">
        <v>39.57</v>
      </c>
      <c r="AE51" s="108">
        <v>40.049999999999997</v>
      </c>
      <c r="AF51" s="106" t="s">
        <v>24</v>
      </c>
      <c r="AG51" s="108">
        <v>4.16</v>
      </c>
      <c r="AH51" s="108">
        <v>6.75</v>
      </c>
      <c r="AI51" s="108">
        <v>7.06</v>
      </c>
      <c r="AJ51" s="108">
        <v>7.47</v>
      </c>
      <c r="AK51" s="108">
        <v>6.19</v>
      </c>
      <c r="AL51" s="106" t="s">
        <v>24</v>
      </c>
      <c r="AM51" s="108">
        <v>7.08</v>
      </c>
      <c r="AN51" s="108">
        <v>4.78</v>
      </c>
      <c r="AO51" s="108">
        <v>5.18</v>
      </c>
      <c r="AP51" s="108">
        <v>5.9</v>
      </c>
      <c r="AQ51" s="108">
        <v>7.59</v>
      </c>
      <c r="AR51" s="106" t="s">
        <v>24</v>
      </c>
      <c r="AS51" s="108">
        <v>16.89</v>
      </c>
      <c r="AT51" s="108">
        <v>11.66</v>
      </c>
      <c r="AU51" s="108">
        <v>10.86</v>
      </c>
      <c r="AV51" s="108">
        <v>9.92</v>
      </c>
      <c r="AW51" s="108">
        <v>9.7899999999999991</v>
      </c>
      <c r="AX51" s="106" t="s">
        <v>24</v>
      </c>
      <c r="AY51" s="108">
        <v>11.89</v>
      </c>
      <c r="AZ51" s="108">
        <v>13.5</v>
      </c>
      <c r="BA51" s="108">
        <v>2.61</v>
      </c>
      <c r="BB51" s="108">
        <v>9.58</v>
      </c>
      <c r="BC51" s="108">
        <v>10.18</v>
      </c>
      <c r="BD51" s="106" t="s">
        <v>24</v>
      </c>
      <c r="BE51" s="108">
        <v>13.39</v>
      </c>
      <c r="BF51" s="108">
        <v>19.07</v>
      </c>
      <c r="BG51" s="108">
        <v>20.27</v>
      </c>
      <c r="BH51" s="108">
        <v>21.51</v>
      </c>
      <c r="BI51" s="108">
        <v>16.41</v>
      </c>
      <c r="BJ51" s="106" t="s">
        <v>24</v>
      </c>
      <c r="BK51" s="108">
        <v>0.87</v>
      </c>
      <c r="BL51" s="108">
        <v>0.95</v>
      </c>
      <c r="BM51" s="107">
        <v>1</v>
      </c>
      <c r="BN51" s="108">
        <v>1.05</v>
      </c>
      <c r="BO51" s="108">
        <v>1.1100000000000001</v>
      </c>
      <c r="BP51" s="106" t="s">
        <v>24</v>
      </c>
      <c r="BQ51" s="108">
        <v>9.27</v>
      </c>
      <c r="BR51" s="108">
        <v>9.18</v>
      </c>
      <c r="BS51" s="108">
        <v>1.58</v>
      </c>
      <c r="BT51" s="108">
        <v>5.24</v>
      </c>
      <c r="BU51" s="108">
        <v>5.91</v>
      </c>
      <c r="BV51" s="106" t="s">
        <v>24</v>
      </c>
      <c r="BW51" s="108">
        <v>41.32</v>
      </c>
      <c r="BX51" s="108">
        <v>81.97</v>
      </c>
      <c r="BY51" s="108">
        <v>12.6</v>
      </c>
      <c r="BZ51" s="108">
        <v>27.18</v>
      </c>
      <c r="CA51" s="108">
        <v>22.55</v>
      </c>
      <c r="CB51" s="106" t="s">
        <v>24</v>
      </c>
      <c r="CC51" s="108">
        <v>16.59</v>
      </c>
      <c r="CD51" s="108">
        <v>22.06</v>
      </c>
      <c r="CE51" s="108">
        <v>22.02</v>
      </c>
      <c r="CF51" s="108">
        <v>20.86</v>
      </c>
      <c r="CG51" s="108">
        <v>16.2</v>
      </c>
      <c r="CH51" s="106" t="s">
        <v>24</v>
      </c>
      <c r="CI51" s="108">
        <v>0.78</v>
      </c>
      <c r="CJ51" s="108">
        <v>0.68</v>
      </c>
      <c r="CK51" s="108">
        <v>0.61</v>
      </c>
      <c r="CL51" s="108">
        <v>0.55000000000000004</v>
      </c>
      <c r="CM51" s="108">
        <v>0.57999999999999996</v>
      </c>
      <c r="CN51" s="106" t="s">
        <v>24</v>
      </c>
      <c r="CO51" s="107">
        <v>973469</v>
      </c>
      <c r="CP51" s="107">
        <v>867543</v>
      </c>
      <c r="CQ51" s="107">
        <v>818410</v>
      </c>
      <c r="CR51" s="107">
        <v>617303</v>
      </c>
      <c r="CS51" s="107">
        <v>853998</v>
      </c>
      <c r="CT51" s="106" t="s">
        <v>24</v>
      </c>
      <c r="CU51" s="108">
        <v>1.42</v>
      </c>
      <c r="CV51" s="108">
        <v>3.62</v>
      </c>
      <c r="CW51" s="108">
        <v>5.14</v>
      </c>
      <c r="CX51" s="108">
        <v>2.54</v>
      </c>
      <c r="CY51" s="108">
        <v>1.52</v>
      </c>
    </row>
    <row r="52" spans="1:103" x14ac:dyDescent="0.15">
      <c r="A52" s="109" t="s">
        <v>323</v>
      </c>
      <c r="B52" s="106" t="s">
        <v>24</v>
      </c>
      <c r="C52" s="108">
        <v>-9.93</v>
      </c>
      <c r="D52" s="108">
        <v>91.07</v>
      </c>
      <c r="E52" s="108">
        <v>-38.270000000000003</v>
      </c>
      <c r="F52" s="108">
        <v>6.62</v>
      </c>
      <c r="G52" s="108">
        <v>36.869999999999997</v>
      </c>
      <c r="H52" s="106" t="s">
        <v>24</v>
      </c>
      <c r="I52" s="108">
        <v>0.78</v>
      </c>
      <c r="J52" s="108">
        <v>1.1100000000000001</v>
      </c>
      <c r="K52" s="108">
        <v>0.92</v>
      </c>
      <c r="L52" s="108">
        <v>1.28</v>
      </c>
      <c r="M52" s="108">
        <v>1.51</v>
      </c>
      <c r="N52" s="106" t="s">
        <v>24</v>
      </c>
      <c r="O52" s="108">
        <v>9.9600000000000009</v>
      </c>
      <c r="P52" s="108">
        <v>3.22</v>
      </c>
      <c r="Q52" s="108">
        <v>8.68</v>
      </c>
      <c r="R52" s="108">
        <v>11.35</v>
      </c>
      <c r="S52" s="108">
        <v>12.1</v>
      </c>
      <c r="T52" s="106" t="s">
        <v>24</v>
      </c>
      <c r="U52" s="108">
        <v>9.57</v>
      </c>
      <c r="V52" s="108">
        <v>3.27</v>
      </c>
      <c r="W52" s="108">
        <v>7.78</v>
      </c>
      <c r="X52" s="108">
        <v>11.33</v>
      </c>
      <c r="Y52" s="108">
        <v>11.72</v>
      </c>
      <c r="Z52" s="106" t="s">
        <v>24</v>
      </c>
      <c r="AA52" s="108">
        <v>44.38</v>
      </c>
      <c r="AB52" s="108">
        <v>45.35</v>
      </c>
      <c r="AC52" s="108">
        <v>42.73</v>
      </c>
      <c r="AD52" s="108">
        <v>36.880000000000003</v>
      </c>
      <c r="AE52" s="108">
        <v>39.090000000000003</v>
      </c>
      <c r="AF52" s="106" t="s">
        <v>24</v>
      </c>
      <c r="AG52" s="108">
        <v>15.52</v>
      </c>
      <c r="AH52" s="108">
        <v>25.15</v>
      </c>
      <c r="AI52" s="108">
        <v>19.55</v>
      </c>
      <c r="AJ52" s="108">
        <v>13.43</v>
      </c>
      <c r="AK52" s="108">
        <v>16.2</v>
      </c>
      <c r="AL52" s="106" t="s">
        <v>24</v>
      </c>
      <c r="AM52" s="108">
        <v>36.630000000000003</v>
      </c>
      <c r="AN52" s="108">
        <v>39.78</v>
      </c>
      <c r="AO52" s="108">
        <v>48.07</v>
      </c>
      <c r="AP52" s="106" t="s">
        <v>24</v>
      </c>
      <c r="AQ52" s="108">
        <v>56.75</v>
      </c>
      <c r="AR52" s="106" t="s">
        <v>24</v>
      </c>
      <c r="AS52" s="108">
        <v>15.27</v>
      </c>
      <c r="AT52" s="108">
        <v>14.55</v>
      </c>
      <c r="AU52" s="108">
        <v>15.73</v>
      </c>
      <c r="AV52" s="106" t="s">
        <v>24</v>
      </c>
      <c r="AW52" s="108">
        <v>14.8</v>
      </c>
      <c r="AX52" s="106" t="s">
        <v>24</v>
      </c>
      <c r="AY52" s="108">
        <v>9.9499999999999993</v>
      </c>
      <c r="AZ52" s="108">
        <v>0.91</v>
      </c>
      <c r="BA52" s="108">
        <v>9.75</v>
      </c>
      <c r="BB52" s="108">
        <v>11.61</v>
      </c>
      <c r="BC52" s="108">
        <v>17.95</v>
      </c>
      <c r="BD52" s="106" t="s">
        <v>24</v>
      </c>
      <c r="BE52" s="108">
        <v>9.75</v>
      </c>
      <c r="BF52" s="108">
        <v>9.7100000000000009</v>
      </c>
      <c r="BG52" s="108">
        <v>9.86</v>
      </c>
      <c r="BH52" s="108">
        <v>5.24</v>
      </c>
      <c r="BI52" s="108">
        <v>4.92</v>
      </c>
      <c r="BJ52" s="106" t="s">
        <v>24</v>
      </c>
      <c r="BK52" s="108">
        <v>0.62</v>
      </c>
      <c r="BL52" s="108">
        <v>0.93</v>
      </c>
      <c r="BM52" s="108">
        <v>0.74</v>
      </c>
      <c r="BN52" s="108">
        <v>1.04</v>
      </c>
      <c r="BO52" s="108">
        <v>1.3</v>
      </c>
      <c r="BP52" s="106" t="s">
        <v>24</v>
      </c>
      <c r="BQ52" s="108">
        <v>4.41</v>
      </c>
      <c r="BR52" s="108">
        <v>0.37</v>
      </c>
      <c r="BS52" s="108">
        <v>3.68</v>
      </c>
      <c r="BT52" s="106" t="s">
        <v>24</v>
      </c>
      <c r="BU52" s="108">
        <v>5.47</v>
      </c>
      <c r="BV52" s="106" t="s">
        <v>24</v>
      </c>
      <c r="BW52" s="108">
        <v>9.69</v>
      </c>
      <c r="BX52" s="108">
        <v>0.73</v>
      </c>
      <c r="BY52" s="108">
        <v>6.63</v>
      </c>
      <c r="BZ52" s="106" t="s">
        <v>24</v>
      </c>
      <c r="CA52" s="108">
        <v>8.89</v>
      </c>
      <c r="CB52" s="106" t="s">
        <v>24</v>
      </c>
      <c r="CC52" s="108">
        <v>7.06</v>
      </c>
      <c r="CD52" s="108">
        <v>6.18</v>
      </c>
      <c r="CE52" s="108">
        <v>5.46</v>
      </c>
      <c r="CF52" s="106" t="s">
        <v>24</v>
      </c>
      <c r="CG52" s="108">
        <v>2.17</v>
      </c>
      <c r="CH52" s="106" t="s">
        <v>24</v>
      </c>
      <c r="CI52" s="108">
        <v>0.44</v>
      </c>
      <c r="CJ52" s="108">
        <v>0.41</v>
      </c>
      <c r="CK52" s="108">
        <v>0.38</v>
      </c>
      <c r="CL52" s="106" t="s">
        <v>24</v>
      </c>
      <c r="CM52" s="108">
        <v>0.3</v>
      </c>
      <c r="CN52" s="106" t="s">
        <v>24</v>
      </c>
      <c r="CO52" s="108">
        <v>399951.69</v>
      </c>
      <c r="CP52" s="108">
        <v>383722.83</v>
      </c>
      <c r="CQ52" s="108">
        <v>454587.99</v>
      </c>
      <c r="CR52" s="106" t="s">
        <v>24</v>
      </c>
      <c r="CS52" s="108">
        <v>714979.86</v>
      </c>
      <c r="CT52" s="106" t="s">
        <v>24</v>
      </c>
      <c r="CU52" s="108">
        <v>0.51</v>
      </c>
      <c r="CV52" s="108">
        <v>0.28999999999999998</v>
      </c>
      <c r="CW52" s="108">
        <v>0.31</v>
      </c>
      <c r="CX52" s="108">
        <v>0.22</v>
      </c>
      <c r="CY52" s="108">
        <v>0.15</v>
      </c>
    </row>
    <row r="53" spans="1:103" x14ac:dyDescent="0.15">
      <c r="A53" s="109" t="s">
        <v>322</v>
      </c>
      <c r="B53" s="106" t="s">
        <v>24</v>
      </c>
      <c r="C53" s="108">
        <v>3.96</v>
      </c>
      <c r="D53" s="106" t="s">
        <v>24</v>
      </c>
      <c r="E53" s="108">
        <v>-490.74</v>
      </c>
      <c r="F53" s="106" t="s">
        <v>24</v>
      </c>
      <c r="G53" s="106" t="s">
        <v>24</v>
      </c>
      <c r="H53" s="106" t="s">
        <v>24</v>
      </c>
      <c r="I53" s="108">
        <v>0.52</v>
      </c>
      <c r="J53" s="108">
        <v>0.5</v>
      </c>
      <c r="K53" s="108">
        <v>0.86</v>
      </c>
      <c r="L53" s="108">
        <v>0.52</v>
      </c>
      <c r="M53" s="108">
        <v>0.63</v>
      </c>
      <c r="N53" s="106" t="s">
        <v>24</v>
      </c>
      <c r="O53" s="108">
        <v>3.31</v>
      </c>
      <c r="P53" s="108">
        <v>-13.21</v>
      </c>
      <c r="Q53" s="108">
        <v>2.27</v>
      </c>
      <c r="R53" s="108">
        <v>-0.08</v>
      </c>
      <c r="S53" s="108">
        <v>-3.19</v>
      </c>
      <c r="T53" s="106" t="s">
        <v>24</v>
      </c>
      <c r="U53" s="108">
        <v>33.549999999999997</v>
      </c>
      <c r="V53" s="108">
        <v>14.32</v>
      </c>
      <c r="W53" s="108">
        <v>31.55</v>
      </c>
      <c r="X53" s="108">
        <v>32.619999999999997</v>
      </c>
      <c r="Y53" s="108">
        <v>31.48</v>
      </c>
      <c r="Z53" s="106" t="s">
        <v>24</v>
      </c>
      <c r="AA53" s="108">
        <v>49.6</v>
      </c>
      <c r="AB53" s="108">
        <v>46.35</v>
      </c>
      <c r="AC53" s="108">
        <v>47.27</v>
      </c>
      <c r="AD53" s="108">
        <v>45.97</v>
      </c>
      <c r="AE53" s="108">
        <v>44.24</v>
      </c>
      <c r="AF53" s="106" t="s">
        <v>24</v>
      </c>
      <c r="AG53" s="108">
        <v>1.28</v>
      </c>
      <c r="AH53" s="106" t="s">
        <v>24</v>
      </c>
      <c r="AI53" s="108">
        <v>0.51</v>
      </c>
      <c r="AJ53" s="108">
        <v>1.1499999999999999</v>
      </c>
      <c r="AK53" s="108">
        <v>0.91</v>
      </c>
      <c r="AL53" s="106" t="s">
        <v>24</v>
      </c>
      <c r="AM53" s="106" t="s">
        <v>24</v>
      </c>
      <c r="AN53" s="106" t="s">
        <v>24</v>
      </c>
      <c r="AO53" s="106" t="s">
        <v>24</v>
      </c>
      <c r="AP53" s="106" t="s">
        <v>24</v>
      </c>
      <c r="AQ53" s="106" t="s">
        <v>24</v>
      </c>
      <c r="AR53" s="106" t="s">
        <v>24</v>
      </c>
      <c r="AS53" s="108">
        <v>1.08</v>
      </c>
      <c r="AT53" s="108">
        <v>1.17</v>
      </c>
      <c r="AU53" s="108">
        <v>1.24</v>
      </c>
      <c r="AV53" s="108">
        <v>1.33</v>
      </c>
      <c r="AW53" s="106" t="s">
        <v>24</v>
      </c>
      <c r="AX53" s="106" t="s">
        <v>24</v>
      </c>
      <c r="AY53" s="108">
        <v>3.18</v>
      </c>
      <c r="AZ53" s="108">
        <v>-7.85</v>
      </c>
      <c r="BA53" s="108">
        <v>13.42</v>
      </c>
      <c r="BB53" s="108">
        <v>2.13</v>
      </c>
      <c r="BC53" s="107">
        <v>-4</v>
      </c>
      <c r="BD53" s="106" t="s">
        <v>24</v>
      </c>
      <c r="BE53" s="108">
        <v>15.87</v>
      </c>
      <c r="BF53" s="108">
        <v>-1.95</v>
      </c>
      <c r="BG53" s="108">
        <v>6.45</v>
      </c>
      <c r="BH53" s="108">
        <v>19.690000000000001</v>
      </c>
      <c r="BI53" s="108">
        <v>16.84</v>
      </c>
      <c r="BJ53" s="106" t="s">
        <v>24</v>
      </c>
      <c r="BK53" s="108">
        <v>0.39</v>
      </c>
      <c r="BL53" s="108">
        <v>0.4</v>
      </c>
      <c r="BM53" s="108">
        <v>0.76</v>
      </c>
      <c r="BN53" s="108">
        <v>0.44</v>
      </c>
      <c r="BO53" s="108">
        <v>0.55000000000000004</v>
      </c>
      <c r="BP53" s="106" t="s">
        <v>24</v>
      </c>
      <c r="BQ53" s="108">
        <v>1.49</v>
      </c>
      <c r="BR53" s="108">
        <v>-3.73</v>
      </c>
      <c r="BS53" s="108">
        <v>6.12</v>
      </c>
      <c r="BT53" s="108">
        <v>0.96</v>
      </c>
      <c r="BU53" s="106" t="s">
        <v>24</v>
      </c>
      <c r="BV53" s="106" t="s">
        <v>24</v>
      </c>
      <c r="BW53" s="106" t="s">
        <v>24</v>
      </c>
      <c r="BX53" s="106" t="s">
        <v>24</v>
      </c>
      <c r="BY53" s="106" t="s">
        <v>24</v>
      </c>
      <c r="BZ53" s="106" t="s">
        <v>24</v>
      </c>
      <c r="CA53" s="106" t="s">
        <v>24</v>
      </c>
      <c r="CB53" s="106" t="s">
        <v>24</v>
      </c>
      <c r="CC53" s="108">
        <v>8.98</v>
      </c>
      <c r="CD53" s="108">
        <v>-1.1100000000000001</v>
      </c>
      <c r="CE53" s="108">
        <v>3.65</v>
      </c>
      <c r="CF53" s="108">
        <v>11.65</v>
      </c>
      <c r="CG53" s="106" t="s">
        <v>24</v>
      </c>
      <c r="CH53" s="106" t="s">
        <v>24</v>
      </c>
      <c r="CI53" s="108">
        <v>0.47</v>
      </c>
      <c r="CJ53" s="108">
        <v>0.47</v>
      </c>
      <c r="CK53" s="108">
        <v>0.46</v>
      </c>
      <c r="CL53" s="108">
        <v>0.45</v>
      </c>
      <c r="CM53" s="106" t="s">
        <v>24</v>
      </c>
      <c r="CN53" s="106" t="s">
        <v>24</v>
      </c>
      <c r="CO53" s="107">
        <v>520818</v>
      </c>
      <c r="CP53" s="107">
        <v>443769</v>
      </c>
      <c r="CQ53" s="107">
        <v>396033</v>
      </c>
      <c r="CR53" s="107">
        <v>411207</v>
      </c>
      <c r="CS53" s="106" t="s">
        <v>24</v>
      </c>
      <c r="CT53" s="106" t="s">
        <v>24</v>
      </c>
      <c r="CU53" s="106" t="s">
        <v>24</v>
      </c>
      <c r="CV53" s="106" t="s">
        <v>24</v>
      </c>
      <c r="CW53" s="106" t="s">
        <v>24</v>
      </c>
      <c r="CX53" s="106" t="s">
        <v>24</v>
      </c>
      <c r="CY53" s="106" t="s">
        <v>24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3D0352-D883-4A7B-A76B-CC7AB6F6CE31}">
  <dimension ref="A1:O83"/>
  <sheetViews>
    <sheetView workbookViewId="0">
      <selection activeCell="J2" sqref="J2"/>
    </sheetView>
  </sheetViews>
  <sheetFormatPr baseColWidth="10" defaultColWidth="8.83203125" defaultRowHeight="15" x14ac:dyDescent="0.2"/>
  <cols>
    <col min="1" max="1" width="9.5" style="258" bestFit="1" customWidth="1"/>
    <col min="2" max="6" width="8.83203125" style="258"/>
    <col min="7" max="7" width="9.83203125" style="258" bestFit="1" customWidth="1"/>
    <col min="8" max="8" width="8.83203125" style="258"/>
    <col min="9" max="9" width="18.33203125" style="258" bestFit="1" customWidth="1"/>
    <col min="10" max="16384" width="8.83203125" style="258"/>
  </cols>
  <sheetData>
    <row r="1" spans="1:15" x14ac:dyDescent="0.2">
      <c r="A1" s="258" t="s">
        <v>959</v>
      </c>
      <c r="B1" s="258" t="s">
        <v>958</v>
      </c>
      <c r="C1" s="258" t="s">
        <v>957</v>
      </c>
      <c r="D1" s="258" t="s">
        <v>956</v>
      </c>
      <c r="E1" s="258" t="s">
        <v>955</v>
      </c>
      <c r="F1" s="258" t="s">
        <v>954</v>
      </c>
      <c r="G1" s="258" t="s">
        <v>953</v>
      </c>
      <c r="J1" s="260">
        <v>2020</v>
      </c>
      <c r="K1" s="260">
        <v>2019</v>
      </c>
      <c r="L1" s="260">
        <v>2018</v>
      </c>
      <c r="M1" s="260">
        <v>2017</v>
      </c>
      <c r="N1" s="260">
        <v>2016</v>
      </c>
      <c r="O1" s="260">
        <v>2015</v>
      </c>
    </row>
    <row r="2" spans="1:15" x14ac:dyDescent="0.2">
      <c r="A2" s="259">
        <v>42005</v>
      </c>
      <c r="B2" s="258">
        <v>32.150002000000001</v>
      </c>
      <c r="C2" s="258">
        <v>32.349997999999999</v>
      </c>
      <c r="D2" s="258">
        <v>28</v>
      </c>
      <c r="E2" s="258">
        <v>28.73</v>
      </c>
      <c r="F2" s="258">
        <v>27.911266000000001</v>
      </c>
      <c r="G2" s="258">
        <v>18259300</v>
      </c>
      <c r="I2" s="271" t="s">
        <v>1002</v>
      </c>
      <c r="J2" s="261">
        <f>AVERAGE(F62:F73)</f>
        <v>8.4308333333333341</v>
      </c>
      <c r="K2" s="261">
        <f>AVERAGE(F50:F61)</f>
        <v>12.52166675</v>
      </c>
      <c r="L2" s="261">
        <f>AVERAGE(E38:E49)</f>
        <v>23.934999833333336</v>
      </c>
      <c r="M2" s="261">
        <f>AVERAGE(E26:E37)</f>
        <v>29.309166583333333</v>
      </c>
      <c r="N2" s="261">
        <f>AVERAGE(E14:E25)</f>
        <v>22.119166666666668</v>
      </c>
      <c r="O2" s="261">
        <f>AVERAGE(F2:F13)</f>
        <v>33.653573833333333</v>
      </c>
    </row>
    <row r="3" spans="1:15" x14ac:dyDescent="0.2">
      <c r="A3" s="259">
        <v>42036</v>
      </c>
      <c r="B3" s="258">
        <v>28.700001</v>
      </c>
      <c r="C3" s="258">
        <v>33.049999</v>
      </c>
      <c r="D3" s="258">
        <v>27.549999</v>
      </c>
      <c r="E3" s="258">
        <v>32.590000000000003</v>
      </c>
      <c r="F3" s="258">
        <v>31.661266000000001</v>
      </c>
      <c r="G3" s="258">
        <v>25169400</v>
      </c>
    </row>
    <row r="4" spans="1:15" x14ac:dyDescent="0.2">
      <c r="A4" s="259">
        <v>42064</v>
      </c>
      <c r="B4" s="258">
        <v>32.459999000000003</v>
      </c>
      <c r="C4" s="258">
        <v>34.869999</v>
      </c>
      <c r="D4" s="258">
        <v>31.950001</v>
      </c>
      <c r="E4" s="258">
        <v>33.919998</v>
      </c>
      <c r="F4" s="258">
        <v>32.953364999999998</v>
      </c>
      <c r="G4" s="258">
        <v>24305400</v>
      </c>
    </row>
    <row r="5" spans="1:15" x14ac:dyDescent="0.2">
      <c r="A5" s="259">
        <v>42095</v>
      </c>
      <c r="B5" s="258">
        <v>33.900002000000001</v>
      </c>
      <c r="C5" s="258">
        <v>34.380001</v>
      </c>
      <c r="D5" s="258">
        <v>30.709999</v>
      </c>
      <c r="E5" s="258">
        <v>31.01</v>
      </c>
      <c r="F5" s="258">
        <v>30.189927999999998</v>
      </c>
      <c r="G5" s="258">
        <v>38242500</v>
      </c>
    </row>
    <row r="6" spans="1:15" x14ac:dyDescent="0.2">
      <c r="A6" s="259">
        <v>42125</v>
      </c>
      <c r="B6" s="258">
        <v>31.059999000000001</v>
      </c>
      <c r="C6" s="258">
        <v>33.729999999999997</v>
      </c>
      <c r="D6" s="258">
        <v>30.27</v>
      </c>
      <c r="E6" s="258">
        <v>33.090000000000003</v>
      </c>
      <c r="F6" s="258">
        <v>32.214924000000003</v>
      </c>
      <c r="G6" s="258">
        <v>20107100</v>
      </c>
    </row>
    <row r="7" spans="1:15" x14ac:dyDescent="0.2">
      <c r="A7" s="259">
        <v>42156</v>
      </c>
      <c r="B7" s="258">
        <v>33.090000000000003</v>
      </c>
      <c r="C7" s="258">
        <v>38.25</v>
      </c>
      <c r="D7" s="258">
        <v>32.790000999999997</v>
      </c>
      <c r="E7" s="258">
        <v>37.049999</v>
      </c>
      <c r="F7" s="258">
        <v>36.070197999999998</v>
      </c>
      <c r="G7" s="258">
        <v>29897700</v>
      </c>
    </row>
    <row r="8" spans="1:15" x14ac:dyDescent="0.2">
      <c r="A8" s="259">
        <v>42186</v>
      </c>
      <c r="B8" s="258">
        <v>37.25</v>
      </c>
      <c r="C8" s="258">
        <v>39.729999999999997</v>
      </c>
      <c r="D8" s="258">
        <v>35.770000000000003</v>
      </c>
      <c r="E8" s="258">
        <v>39.18</v>
      </c>
      <c r="F8" s="258">
        <v>38.214545999999999</v>
      </c>
      <c r="G8" s="258">
        <v>23077500</v>
      </c>
    </row>
    <row r="9" spans="1:15" x14ac:dyDescent="0.2">
      <c r="A9" s="259">
        <v>42217</v>
      </c>
      <c r="B9" s="258">
        <v>39.220001000000003</v>
      </c>
      <c r="C9" s="258">
        <v>39.529998999999997</v>
      </c>
      <c r="D9" s="258">
        <v>27.51</v>
      </c>
      <c r="E9" s="258">
        <v>36.689999</v>
      </c>
      <c r="F9" s="258">
        <v>35.785899999999998</v>
      </c>
      <c r="G9" s="258">
        <v>30574400</v>
      </c>
    </row>
    <row r="10" spans="1:15" x14ac:dyDescent="0.2">
      <c r="A10" s="259">
        <v>42248</v>
      </c>
      <c r="B10" s="258">
        <v>35.880001</v>
      </c>
      <c r="C10" s="258">
        <v>40.740001999999997</v>
      </c>
      <c r="D10" s="258">
        <v>35.599997999999999</v>
      </c>
      <c r="E10" s="258">
        <v>36.799999</v>
      </c>
      <c r="F10" s="258">
        <v>35.893191999999999</v>
      </c>
      <c r="G10" s="258">
        <v>18791200</v>
      </c>
    </row>
    <row r="11" spans="1:15" x14ac:dyDescent="0.2">
      <c r="A11" s="259">
        <v>42278</v>
      </c>
      <c r="B11" s="258">
        <v>36.939999</v>
      </c>
      <c r="C11" s="258">
        <v>41.259998000000003</v>
      </c>
      <c r="D11" s="258">
        <v>36.68</v>
      </c>
      <c r="E11" s="258">
        <v>38.970001000000003</v>
      </c>
      <c r="F11" s="258">
        <v>38.099670000000003</v>
      </c>
      <c r="G11" s="258">
        <v>17360500</v>
      </c>
    </row>
    <row r="12" spans="1:15" x14ac:dyDescent="0.2">
      <c r="A12" s="259">
        <v>42309</v>
      </c>
      <c r="B12" s="258">
        <v>39.18</v>
      </c>
      <c r="C12" s="258">
        <v>41.41</v>
      </c>
      <c r="D12" s="258">
        <v>33.580002</v>
      </c>
      <c r="E12" s="258">
        <v>33.939999</v>
      </c>
      <c r="F12" s="258">
        <v>33.182006999999999</v>
      </c>
      <c r="G12" s="258">
        <v>41313800</v>
      </c>
    </row>
    <row r="13" spans="1:15" x14ac:dyDescent="0.2">
      <c r="A13" s="259">
        <v>42339</v>
      </c>
      <c r="B13" s="258">
        <v>34.07</v>
      </c>
      <c r="C13" s="258">
        <v>35.650002000000001</v>
      </c>
      <c r="D13" s="258">
        <v>31.9</v>
      </c>
      <c r="E13" s="258">
        <v>32.389999000000003</v>
      </c>
      <c r="F13" s="258">
        <v>31.666623999999999</v>
      </c>
      <c r="G13" s="258">
        <v>28209900</v>
      </c>
    </row>
    <row r="14" spans="1:15" x14ac:dyDescent="0.2">
      <c r="A14" s="259">
        <v>42370</v>
      </c>
      <c r="B14" s="258">
        <v>32</v>
      </c>
      <c r="C14" s="258">
        <v>32</v>
      </c>
      <c r="D14" s="258">
        <v>25.52</v>
      </c>
      <c r="E14" s="258">
        <v>26.15</v>
      </c>
      <c r="F14" s="258">
        <v>25.636112000000001</v>
      </c>
      <c r="G14" s="258">
        <v>28003700</v>
      </c>
    </row>
    <row r="15" spans="1:15" x14ac:dyDescent="0.2">
      <c r="A15" s="259">
        <v>42401</v>
      </c>
      <c r="B15" s="258">
        <v>25.98</v>
      </c>
      <c r="C15" s="258">
        <v>28.040001</v>
      </c>
      <c r="D15" s="258">
        <v>16.209999</v>
      </c>
      <c r="E15" s="258">
        <v>21.1</v>
      </c>
      <c r="F15" s="258">
        <v>20.685352000000002</v>
      </c>
      <c r="G15" s="258">
        <v>84998600</v>
      </c>
    </row>
    <row r="16" spans="1:15" x14ac:dyDescent="0.2">
      <c r="A16" s="259">
        <v>42430</v>
      </c>
      <c r="B16" s="258">
        <v>21.09</v>
      </c>
      <c r="C16" s="258">
        <v>24.48</v>
      </c>
      <c r="D16" s="258">
        <v>20.75</v>
      </c>
      <c r="E16" s="258">
        <v>21.85</v>
      </c>
      <c r="F16" s="258">
        <v>21.420615999999999</v>
      </c>
      <c r="G16" s="258">
        <v>51924700</v>
      </c>
    </row>
    <row r="17" spans="1:7" x14ac:dyDescent="0.2">
      <c r="A17" s="259">
        <v>42461</v>
      </c>
      <c r="B17" s="258">
        <v>21.709999</v>
      </c>
      <c r="C17" s="258">
        <v>22.620000999999998</v>
      </c>
      <c r="D17" s="258">
        <v>19.600000000000001</v>
      </c>
      <c r="E17" s="258">
        <v>22.200001</v>
      </c>
      <c r="F17" s="258">
        <v>21.854589000000001</v>
      </c>
      <c r="G17" s="258">
        <v>46017600</v>
      </c>
    </row>
    <row r="18" spans="1:7" x14ac:dyDescent="0.2">
      <c r="A18" s="259">
        <v>42491</v>
      </c>
      <c r="B18" s="258">
        <v>22.17</v>
      </c>
      <c r="C18" s="258">
        <v>22.4</v>
      </c>
      <c r="D18" s="258">
        <v>19.370000999999998</v>
      </c>
      <c r="E18" s="258">
        <v>22.299999</v>
      </c>
      <c r="F18" s="258">
        <v>21.953028</v>
      </c>
      <c r="G18" s="258">
        <v>50173400</v>
      </c>
    </row>
    <row r="19" spans="1:7" x14ac:dyDescent="0.2">
      <c r="A19" s="259">
        <v>42522</v>
      </c>
      <c r="B19" s="258">
        <v>22.299999</v>
      </c>
      <c r="C19" s="258">
        <v>23.52</v>
      </c>
      <c r="D19" s="258">
        <v>19.66</v>
      </c>
      <c r="E19" s="258">
        <v>20.23</v>
      </c>
      <c r="F19" s="258">
        <v>19.915237000000001</v>
      </c>
      <c r="G19" s="258">
        <v>69723800</v>
      </c>
    </row>
    <row r="20" spans="1:7" x14ac:dyDescent="0.2">
      <c r="A20" s="259">
        <v>42552</v>
      </c>
      <c r="B20" s="258">
        <v>20.139999</v>
      </c>
      <c r="C20" s="258">
        <v>21.440000999999999</v>
      </c>
      <c r="D20" s="258">
        <v>18.52</v>
      </c>
      <c r="E20" s="258">
        <v>19.989999999999998</v>
      </c>
      <c r="F20" s="258">
        <v>19.768332000000001</v>
      </c>
      <c r="G20" s="258">
        <v>71281300</v>
      </c>
    </row>
    <row r="21" spans="1:7" x14ac:dyDescent="0.2">
      <c r="A21" s="259">
        <v>42583</v>
      </c>
      <c r="B21" s="258">
        <v>19.98</v>
      </c>
      <c r="C21" s="258">
        <v>22.299999</v>
      </c>
      <c r="D21" s="258">
        <v>18.52</v>
      </c>
      <c r="E21" s="258">
        <v>20.959999</v>
      </c>
      <c r="F21" s="258">
        <v>20.727575000000002</v>
      </c>
      <c r="G21" s="258">
        <v>61288000</v>
      </c>
    </row>
    <row r="22" spans="1:7" x14ac:dyDescent="0.2">
      <c r="A22" s="259">
        <v>42614</v>
      </c>
      <c r="B22" s="258">
        <v>20.77</v>
      </c>
      <c r="C22" s="258">
        <v>21.85</v>
      </c>
      <c r="D22" s="258">
        <v>19.739999999999998</v>
      </c>
      <c r="E22" s="258">
        <v>19.989999999999998</v>
      </c>
      <c r="F22" s="258">
        <v>19.768332000000001</v>
      </c>
      <c r="G22" s="258">
        <v>50987300</v>
      </c>
    </row>
    <row r="23" spans="1:7" x14ac:dyDescent="0.2">
      <c r="A23" s="259">
        <v>42644</v>
      </c>
      <c r="B23" s="258">
        <v>20.149999999999999</v>
      </c>
      <c r="C23" s="258">
        <v>21.540001</v>
      </c>
      <c r="D23" s="258">
        <v>18.280000999999999</v>
      </c>
      <c r="E23" s="258">
        <v>20.360001</v>
      </c>
      <c r="F23" s="258">
        <v>20.134229999999999</v>
      </c>
      <c r="G23" s="258">
        <v>51060300</v>
      </c>
    </row>
    <row r="24" spans="1:7" x14ac:dyDescent="0.2">
      <c r="A24" s="259">
        <v>42675</v>
      </c>
      <c r="B24" s="258">
        <v>20.379999000000002</v>
      </c>
      <c r="C24" s="258">
        <v>24.07</v>
      </c>
      <c r="D24" s="258">
        <v>18.959999</v>
      </c>
      <c r="E24" s="258">
        <v>23.4</v>
      </c>
      <c r="F24" s="258">
        <v>23.140518</v>
      </c>
      <c r="G24" s="258">
        <v>65019800</v>
      </c>
    </row>
    <row r="25" spans="1:7" x14ac:dyDescent="0.2">
      <c r="A25" s="259">
        <v>42705</v>
      </c>
      <c r="B25" s="258">
        <v>23.33</v>
      </c>
      <c r="C25" s="258">
        <v>28.23</v>
      </c>
      <c r="D25" s="258">
        <v>22.52</v>
      </c>
      <c r="E25" s="258">
        <v>26.9</v>
      </c>
      <c r="F25" s="258">
        <v>26.601709</v>
      </c>
      <c r="G25" s="258">
        <v>37960000</v>
      </c>
    </row>
    <row r="26" spans="1:7" x14ac:dyDescent="0.2">
      <c r="A26" s="259">
        <v>42736</v>
      </c>
      <c r="B26" s="258">
        <v>27.33</v>
      </c>
      <c r="C26" s="258">
        <v>29.030000999999999</v>
      </c>
      <c r="D26" s="258">
        <v>26.780000999999999</v>
      </c>
      <c r="E26" s="258">
        <v>28.77</v>
      </c>
      <c r="F26" s="258">
        <v>28.450972</v>
      </c>
      <c r="G26" s="258">
        <v>15193700</v>
      </c>
    </row>
    <row r="27" spans="1:7" x14ac:dyDescent="0.2">
      <c r="A27" s="259">
        <v>42767</v>
      </c>
      <c r="B27" s="258">
        <v>28.9</v>
      </c>
      <c r="C27" s="258">
        <v>28.9</v>
      </c>
      <c r="D27" s="258">
        <v>26.52</v>
      </c>
      <c r="E27" s="258">
        <v>26.77</v>
      </c>
      <c r="F27" s="258">
        <v>26.47315</v>
      </c>
      <c r="G27" s="258">
        <v>10975900</v>
      </c>
    </row>
    <row r="28" spans="1:7" x14ac:dyDescent="0.2">
      <c r="A28" s="259">
        <v>42795</v>
      </c>
      <c r="B28" s="258">
        <v>27.02</v>
      </c>
      <c r="C28" s="258">
        <v>27.379999000000002</v>
      </c>
      <c r="D28" s="258">
        <v>24.27</v>
      </c>
      <c r="E28" s="258">
        <v>26.559999000000001</v>
      </c>
      <c r="F28" s="258">
        <v>26.265478000000002</v>
      </c>
      <c r="G28" s="258">
        <v>14698700</v>
      </c>
    </row>
    <row r="29" spans="1:7" x14ac:dyDescent="0.2">
      <c r="A29" s="259">
        <v>42826</v>
      </c>
      <c r="B29" s="258">
        <v>26.52</v>
      </c>
      <c r="C29" s="258">
        <v>26.75</v>
      </c>
      <c r="D29" s="258">
        <v>24.799999</v>
      </c>
      <c r="E29" s="258">
        <v>26.17</v>
      </c>
      <c r="F29" s="258">
        <v>25.879802999999999</v>
      </c>
      <c r="G29" s="258">
        <v>9480000</v>
      </c>
    </row>
    <row r="30" spans="1:7" x14ac:dyDescent="0.2">
      <c r="A30" s="259">
        <v>42856</v>
      </c>
      <c r="B30" s="258">
        <v>26.18</v>
      </c>
      <c r="C30" s="258">
        <v>27.879999000000002</v>
      </c>
      <c r="D30" s="258">
        <v>24.559999000000001</v>
      </c>
      <c r="E30" s="258">
        <v>27.1</v>
      </c>
      <c r="F30" s="258">
        <v>26.799492000000001</v>
      </c>
      <c r="G30" s="258">
        <v>13765800</v>
      </c>
    </row>
    <row r="31" spans="1:7" x14ac:dyDescent="0.2">
      <c r="A31" s="259">
        <v>42887</v>
      </c>
      <c r="B31" s="258">
        <v>26.969999000000001</v>
      </c>
      <c r="C31" s="258">
        <v>29.25</v>
      </c>
      <c r="D31" s="258">
        <v>26.23</v>
      </c>
      <c r="E31" s="258">
        <v>28.219999000000001</v>
      </c>
      <c r="F31" s="258">
        <v>27.907070000000001</v>
      </c>
      <c r="G31" s="258">
        <v>11197200</v>
      </c>
    </row>
    <row r="32" spans="1:7" x14ac:dyDescent="0.2">
      <c r="A32" s="259">
        <v>42917</v>
      </c>
      <c r="B32" s="258">
        <v>28.469999000000001</v>
      </c>
      <c r="C32" s="258">
        <v>30.16</v>
      </c>
      <c r="D32" s="258">
        <v>27.219999000000001</v>
      </c>
      <c r="E32" s="258">
        <v>29.4</v>
      </c>
      <c r="F32" s="258">
        <v>29.073983999999999</v>
      </c>
      <c r="G32" s="258">
        <v>7335700</v>
      </c>
    </row>
    <row r="33" spans="1:7" x14ac:dyDescent="0.2">
      <c r="A33" s="259">
        <v>42948</v>
      </c>
      <c r="B33" s="258">
        <v>29.4</v>
      </c>
      <c r="C33" s="258">
        <v>29.85</v>
      </c>
      <c r="D33" s="258">
        <v>26.400998999999999</v>
      </c>
      <c r="E33" s="258">
        <v>29.73</v>
      </c>
      <c r="F33" s="258">
        <v>29.400326</v>
      </c>
      <c r="G33" s="258">
        <v>12452900</v>
      </c>
    </row>
    <row r="34" spans="1:7" x14ac:dyDescent="0.2">
      <c r="A34" s="259">
        <v>42979</v>
      </c>
      <c r="B34" s="258">
        <v>29.83</v>
      </c>
      <c r="C34" s="258">
        <v>33.490001999999997</v>
      </c>
      <c r="D34" s="258">
        <v>29.700001</v>
      </c>
      <c r="E34" s="258">
        <v>33.450001</v>
      </c>
      <c r="F34" s="258">
        <v>33.079075000000003</v>
      </c>
      <c r="G34" s="258">
        <v>9322400</v>
      </c>
    </row>
    <row r="35" spans="1:7" x14ac:dyDescent="0.2">
      <c r="A35" s="259">
        <v>43009</v>
      </c>
      <c r="B35" s="258">
        <v>33.549999</v>
      </c>
      <c r="C35" s="258">
        <v>33.68</v>
      </c>
      <c r="D35" s="258">
        <v>28.860001</v>
      </c>
      <c r="E35" s="258">
        <v>29.02</v>
      </c>
      <c r="F35" s="258">
        <v>28.698198000000001</v>
      </c>
      <c r="G35" s="258">
        <v>11052900</v>
      </c>
    </row>
    <row r="36" spans="1:7" x14ac:dyDescent="0.2">
      <c r="A36" s="259">
        <v>43040</v>
      </c>
      <c r="B36" s="258">
        <v>29.16</v>
      </c>
      <c r="C36" s="258">
        <v>34.75</v>
      </c>
      <c r="D36" s="258">
        <v>27.440000999999999</v>
      </c>
      <c r="E36" s="258">
        <v>32.709999000000003</v>
      </c>
      <c r="F36" s="258">
        <v>32.347279</v>
      </c>
      <c r="G36" s="258">
        <v>14415900</v>
      </c>
    </row>
    <row r="37" spans="1:7" x14ac:dyDescent="0.2">
      <c r="A37" s="259">
        <v>43070</v>
      </c>
      <c r="B37" s="258">
        <v>32.700001</v>
      </c>
      <c r="C37" s="258">
        <v>34.169998</v>
      </c>
      <c r="D37" s="258">
        <v>30.75</v>
      </c>
      <c r="E37" s="258">
        <v>33.810001</v>
      </c>
      <c r="F37" s="258">
        <v>33.435088999999998</v>
      </c>
      <c r="G37" s="258">
        <v>9735600</v>
      </c>
    </row>
    <row r="38" spans="1:7" x14ac:dyDescent="0.2">
      <c r="A38" s="259">
        <v>43101</v>
      </c>
      <c r="B38" s="258">
        <v>33.25</v>
      </c>
      <c r="C38" s="258">
        <v>36.479999999999997</v>
      </c>
      <c r="D38" s="258">
        <v>31.33</v>
      </c>
      <c r="E38" s="258">
        <v>33.840000000000003</v>
      </c>
      <c r="F38" s="258">
        <v>33.464751999999997</v>
      </c>
      <c r="G38" s="258">
        <v>19866900</v>
      </c>
    </row>
    <row r="39" spans="1:7" x14ac:dyDescent="0.2">
      <c r="A39" s="259">
        <v>43132</v>
      </c>
      <c r="B39" s="258">
        <v>33.840000000000003</v>
      </c>
      <c r="C39" s="258">
        <v>34.849997999999999</v>
      </c>
      <c r="D39" s="258">
        <v>25.559999000000001</v>
      </c>
      <c r="E39" s="258">
        <v>28.24</v>
      </c>
      <c r="F39" s="258">
        <v>27.926846999999999</v>
      </c>
      <c r="G39" s="258">
        <v>27492900</v>
      </c>
    </row>
    <row r="40" spans="1:7" x14ac:dyDescent="0.2">
      <c r="A40" s="259">
        <v>43160</v>
      </c>
      <c r="B40" s="258">
        <v>28.290001</v>
      </c>
      <c r="C40" s="258">
        <v>30.35</v>
      </c>
      <c r="D40" s="258">
        <v>25.337999</v>
      </c>
      <c r="E40" s="258">
        <v>25.83</v>
      </c>
      <c r="F40" s="258">
        <v>25.543571</v>
      </c>
      <c r="G40" s="258">
        <v>18819300</v>
      </c>
    </row>
    <row r="41" spans="1:7" x14ac:dyDescent="0.2">
      <c r="A41" s="259">
        <v>43191</v>
      </c>
      <c r="B41" s="258">
        <v>25.6</v>
      </c>
      <c r="C41" s="258">
        <v>27.02</v>
      </c>
      <c r="D41" s="258">
        <v>24.75</v>
      </c>
      <c r="E41" s="258">
        <v>24.889999</v>
      </c>
      <c r="F41" s="258">
        <v>24.698418</v>
      </c>
      <c r="G41" s="258">
        <v>12781900</v>
      </c>
    </row>
    <row r="42" spans="1:7" x14ac:dyDescent="0.2">
      <c r="A42" s="259">
        <v>43221</v>
      </c>
      <c r="B42" s="258">
        <v>24.780000999999999</v>
      </c>
      <c r="C42" s="258">
        <v>24.940000999999999</v>
      </c>
      <c r="D42" s="258">
        <v>21.540001</v>
      </c>
      <c r="E42" s="258">
        <v>23.17</v>
      </c>
      <c r="F42" s="258">
        <v>22.991657</v>
      </c>
      <c r="G42" s="258">
        <v>18646200</v>
      </c>
    </row>
    <row r="43" spans="1:7" x14ac:dyDescent="0.2">
      <c r="A43" s="259">
        <v>43252</v>
      </c>
      <c r="B43" s="258">
        <v>23.370000999999998</v>
      </c>
      <c r="C43" s="258">
        <v>27.879999000000002</v>
      </c>
      <c r="D43" s="258">
        <v>23.08</v>
      </c>
      <c r="E43" s="258">
        <v>24.82</v>
      </c>
      <c r="F43" s="258">
        <v>24.628958000000001</v>
      </c>
      <c r="G43" s="258">
        <v>16236200</v>
      </c>
    </row>
    <row r="44" spans="1:7" x14ac:dyDescent="0.2">
      <c r="A44" s="259">
        <v>43282</v>
      </c>
      <c r="B44" s="258">
        <v>24.700001</v>
      </c>
      <c r="C44" s="258">
        <v>26.299999</v>
      </c>
      <c r="D44" s="258">
        <v>23.024999999999999</v>
      </c>
      <c r="E44" s="258">
        <v>23.85</v>
      </c>
      <c r="F44" s="258">
        <v>23.751898000000001</v>
      </c>
      <c r="G44" s="258">
        <v>12573500</v>
      </c>
    </row>
    <row r="45" spans="1:7" x14ac:dyDescent="0.2">
      <c r="A45" s="259">
        <v>43313</v>
      </c>
      <c r="B45" s="258">
        <v>23.639999</v>
      </c>
      <c r="C45" s="258">
        <v>24.879999000000002</v>
      </c>
      <c r="D45" s="258">
        <v>22.66</v>
      </c>
      <c r="E45" s="258">
        <v>23.52</v>
      </c>
      <c r="F45" s="258">
        <v>23.423255999999999</v>
      </c>
      <c r="G45" s="258">
        <v>12851700</v>
      </c>
    </row>
    <row r="46" spans="1:7" x14ac:dyDescent="0.2">
      <c r="A46" s="259">
        <v>43344</v>
      </c>
      <c r="B46" s="258">
        <v>23.299999</v>
      </c>
      <c r="C46" s="258">
        <v>25.07</v>
      </c>
      <c r="D46" s="258">
        <v>21.57</v>
      </c>
      <c r="E46" s="258">
        <v>24.389999</v>
      </c>
      <c r="F46" s="258">
        <v>24.289674999999999</v>
      </c>
      <c r="G46" s="258">
        <v>12204400</v>
      </c>
    </row>
    <row r="47" spans="1:7" x14ac:dyDescent="0.2">
      <c r="A47" s="259">
        <v>43374</v>
      </c>
      <c r="B47" s="258">
        <v>24.5</v>
      </c>
      <c r="C47" s="258">
        <v>25.245000999999998</v>
      </c>
      <c r="D47" s="258">
        <v>18.040001</v>
      </c>
      <c r="E47" s="258">
        <v>19.16</v>
      </c>
      <c r="F47" s="258">
        <v>19.16</v>
      </c>
      <c r="G47" s="258">
        <v>23489600</v>
      </c>
    </row>
    <row r="48" spans="1:7" x14ac:dyDescent="0.2">
      <c r="A48" s="259">
        <v>43405</v>
      </c>
      <c r="B48" s="258">
        <v>19.309999000000001</v>
      </c>
      <c r="C48" s="258">
        <v>21.219999000000001</v>
      </c>
      <c r="D48" s="258">
        <v>18.260000000000002</v>
      </c>
      <c r="E48" s="258">
        <v>19.41</v>
      </c>
      <c r="F48" s="258">
        <v>19.41</v>
      </c>
      <c r="G48" s="258">
        <v>18088300</v>
      </c>
    </row>
    <row r="49" spans="1:7" x14ac:dyDescent="0.2">
      <c r="A49" s="259">
        <v>43435</v>
      </c>
      <c r="B49" s="258">
        <v>19.860001</v>
      </c>
      <c r="C49" s="258">
        <v>19.98</v>
      </c>
      <c r="D49" s="258">
        <v>13.63</v>
      </c>
      <c r="E49" s="258">
        <v>16.100000000000001</v>
      </c>
      <c r="F49" s="258">
        <v>16.100000000000001</v>
      </c>
      <c r="G49" s="258">
        <v>29887200</v>
      </c>
    </row>
    <row r="50" spans="1:7" x14ac:dyDescent="0.2">
      <c r="A50" s="259">
        <v>43466</v>
      </c>
      <c r="B50" s="258">
        <v>16.010000000000002</v>
      </c>
      <c r="C50" s="258">
        <v>19</v>
      </c>
      <c r="D50" s="258">
        <v>15.49</v>
      </c>
      <c r="E50" s="258">
        <v>18.370000999999998</v>
      </c>
      <c r="F50" s="258">
        <v>18.370000999999998</v>
      </c>
      <c r="G50" s="258">
        <v>15593700</v>
      </c>
    </row>
    <row r="51" spans="1:7" x14ac:dyDescent="0.2">
      <c r="A51" s="259">
        <v>43497</v>
      </c>
      <c r="B51" s="258">
        <v>18.309999000000001</v>
      </c>
      <c r="C51" s="258">
        <v>18.48</v>
      </c>
      <c r="D51" s="258">
        <v>14.83</v>
      </c>
      <c r="E51" s="258">
        <v>15.45</v>
      </c>
      <c r="F51" s="258">
        <v>15.45</v>
      </c>
      <c r="G51" s="258">
        <v>18080700</v>
      </c>
    </row>
    <row r="52" spans="1:7" x14ac:dyDescent="0.2">
      <c r="A52" s="259">
        <v>43525</v>
      </c>
      <c r="B52" s="258">
        <v>15.52</v>
      </c>
      <c r="C52" s="258">
        <v>16.57</v>
      </c>
      <c r="D52" s="258">
        <v>14.62</v>
      </c>
      <c r="E52" s="258">
        <v>15.64</v>
      </c>
      <c r="F52" s="258">
        <v>15.64</v>
      </c>
      <c r="G52" s="258">
        <v>16469800</v>
      </c>
    </row>
    <row r="53" spans="1:7" x14ac:dyDescent="0.2">
      <c r="A53" s="259">
        <v>43556</v>
      </c>
      <c r="B53" s="258">
        <v>15.8</v>
      </c>
      <c r="C53" s="258">
        <v>17.389999</v>
      </c>
      <c r="D53" s="258">
        <v>14.44</v>
      </c>
      <c r="E53" s="258">
        <v>14.59</v>
      </c>
      <c r="F53" s="258">
        <v>14.59</v>
      </c>
      <c r="G53" s="258">
        <v>13558700</v>
      </c>
    </row>
    <row r="54" spans="1:7" x14ac:dyDescent="0.2">
      <c r="A54" s="259">
        <v>43586</v>
      </c>
      <c r="B54" s="258">
        <v>14.4</v>
      </c>
      <c r="C54" s="258">
        <v>16.459999</v>
      </c>
      <c r="D54" s="258">
        <v>12.935</v>
      </c>
      <c r="E54" s="258">
        <v>14.77</v>
      </c>
      <c r="F54" s="258">
        <v>14.77</v>
      </c>
      <c r="G54" s="258">
        <v>26772000</v>
      </c>
    </row>
    <row r="55" spans="1:7" x14ac:dyDescent="0.2">
      <c r="A55" s="259">
        <v>43617</v>
      </c>
      <c r="B55" s="258">
        <v>14.68</v>
      </c>
      <c r="C55" s="258">
        <v>16.040001</v>
      </c>
      <c r="D55" s="258">
        <v>11.38</v>
      </c>
      <c r="E55" s="258">
        <v>12.25</v>
      </c>
      <c r="F55" s="258">
        <v>12.25</v>
      </c>
      <c r="G55" s="258">
        <v>23751900</v>
      </c>
    </row>
    <row r="56" spans="1:7" x14ac:dyDescent="0.2">
      <c r="A56" s="259">
        <v>43647</v>
      </c>
      <c r="B56" s="258">
        <v>12.5</v>
      </c>
      <c r="C56" s="258">
        <v>13.263999999999999</v>
      </c>
      <c r="D56" s="258">
        <v>11.4</v>
      </c>
      <c r="E56" s="258">
        <v>12.91</v>
      </c>
      <c r="F56" s="258">
        <v>12.91</v>
      </c>
      <c r="G56" s="258">
        <v>17096900</v>
      </c>
    </row>
    <row r="57" spans="1:7" x14ac:dyDescent="0.2">
      <c r="A57" s="259">
        <v>43678</v>
      </c>
      <c r="B57" s="258">
        <v>12.89</v>
      </c>
      <c r="C57" s="258">
        <v>13.42</v>
      </c>
      <c r="D57" s="258">
        <v>8.6300000000000008</v>
      </c>
      <c r="E57" s="258">
        <v>9.0299999999999994</v>
      </c>
      <c r="F57" s="258">
        <v>9.0299999999999994</v>
      </c>
      <c r="G57" s="258">
        <v>23632600</v>
      </c>
    </row>
    <row r="58" spans="1:7" x14ac:dyDescent="0.2">
      <c r="A58" s="259">
        <v>43709</v>
      </c>
      <c r="B58" s="258">
        <v>8.94</v>
      </c>
      <c r="C58" s="258">
        <v>11.73</v>
      </c>
      <c r="D58" s="258">
        <v>8.8800000000000008</v>
      </c>
      <c r="E58" s="258">
        <v>9.25</v>
      </c>
      <c r="F58" s="258">
        <v>9.25</v>
      </c>
      <c r="G58" s="258">
        <v>25930200</v>
      </c>
    </row>
    <row r="59" spans="1:7" x14ac:dyDescent="0.2">
      <c r="A59" s="259">
        <v>43739</v>
      </c>
      <c r="B59" s="258">
        <v>9.26</v>
      </c>
      <c r="C59" s="258">
        <v>9.7100000000000009</v>
      </c>
      <c r="D59" s="258">
        <v>7.65</v>
      </c>
      <c r="E59" s="258">
        <v>7.99</v>
      </c>
      <c r="F59" s="258">
        <v>7.99</v>
      </c>
      <c r="G59" s="258">
        <v>27234300</v>
      </c>
    </row>
    <row r="60" spans="1:7" x14ac:dyDescent="0.2">
      <c r="A60" s="259">
        <v>43770</v>
      </c>
      <c r="B60" s="258">
        <v>8.0399999999999991</v>
      </c>
      <c r="C60" s="258">
        <v>9.92</v>
      </c>
      <c r="D60" s="258">
        <v>7.79</v>
      </c>
      <c r="E60" s="258">
        <v>9.35</v>
      </c>
      <c r="F60" s="258">
        <v>9.35</v>
      </c>
      <c r="G60" s="258">
        <v>30937400</v>
      </c>
    </row>
    <row r="61" spans="1:7" x14ac:dyDescent="0.2">
      <c r="A61" s="259">
        <v>43800</v>
      </c>
      <c r="B61" s="258">
        <v>9.32</v>
      </c>
      <c r="C61" s="258">
        <v>10.95</v>
      </c>
      <c r="D61" s="258">
        <v>9.19</v>
      </c>
      <c r="E61" s="258">
        <v>10.66</v>
      </c>
      <c r="F61" s="258">
        <v>10.66</v>
      </c>
      <c r="G61" s="258">
        <v>25805700</v>
      </c>
    </row>
    <row r="62" spans="1:7" x14ac:dyDescent="0.2">
      <c r="A62" s="259">
        <v>43831</v>
      </c>
      <c r="B62" s="258">
        <v>10.72</v>
      </c>
      <c r="C62" s="258">
        <v>11.52</v>
      </c>
      <c r="D62" s="258">
        <v>9.69</v>
      </c>
      <c r="E62" s="258">
        <v>9.93</v>
      </c>
      <c r="F62" s="258">
        <v>9.93</v>
      </c>
      <c r="G62" s="258">
        <v>20091800</v>
      </c>
    </row>
    <row r="63" spans="1:7" x14ac:dyDescent="0.2">
      <c r="A63" s="259">
        <v>43862</v>
      </c>
      <c r="B63" s="258">
        <v>9.94</v>
      </c>
      <c r="C63" s="258">
        <v>11.074999999999999</v>
      </c>
      <c r="D63" s="258">
        <v>7.62</v>
      </c>
      <c r="E63" s="258">
        <v>7.95</v>
      </c>
      <c r="F63" s="258">
        <v>7.95</v>
      </c>
      <c r="G63" s="258">
        <v>31466700</v>
      </c>
    </row>
    <row r="64" spans="1:7" x14ac:dyDescent="0.2">
      <c r="A64" s="259">
        <v>43891</v>
      </c>
      <c r="B64" s="258">
        <v>8.02</v>
      </c>
      <c r="C64" s="258">
        <v>8.2899999999999991</v>
      </c>
      <c r="D64" s="258">
        <v>4.18</v>
      </c>
      <c r="E64" s="258">
        <v>6.08</v>
      </c>
      <c r="F64" s="258">
        <v>6.08</v>
      </c>
      <c r="G64" s="258">
        <v>44812000</v>
      </c>
    </row>
    <row r="65" spans="1:7" x14ac:dyDescent="0.2">
      <c r="A65" s="259">
        <v>43922</v>
      </c>
      <c r="B65" s="258">
        <v>5.81</v>
      </c>
      <c r="C65" s="258">
        <v>7.73</v>
      </c>
      <c r="D65" s="258">
        <v>5.15</v>
      </c>
      <c r="E65" s="258">
        <v>7.14</v>
      </c>
      <c r="F65" s="258">
        <v>7.14</v>
      </c>
      <c r="G65" s="258">
        <v>24625700</v>
      </c>
    </row>
    <row r="66" spans="1:7" x14ac:dyDescent="0.2">
      <c r="A66" s="259">
        <v>43952</v>
      </c>
      <c r="B66" s="258">
        <v>7.03</v>
      </c>
      <c r="C66" s="258">
        <v>8.8800000000000008</v>
      </c>
      <c r="D66" s="258">
        <v>6.94</v>
      </c>
      <c r="E66" s="258">
        <v>7.97</v>
      </c>
      <c r="F66" s="258">
        <v>7.97</v>
      </c>
      <c r="G66" s="258">
        <v>23333600</v>
      </c>
    </row>
    <row r="67" spans="1:7" x14ac:dyDescent="0.2">
      <c r="A67" s="259">
        <v>43983</v>
      </c>
      <c r="B67" s="258">
        <v>7.98</v>
      </c>
      <c r="C67" s="258">
        <v>9.2050000000000001</v>
      </c>
      <c r="D67" s="258">
        <v>7.07</v>
      </c>
      <c r="E67" s="258">
        <v>7.41</v>
      </c>
      <c r="F67" s="258">
        <v>7.41</v>
      </c>
      <c r="G67" s="258">
        <v>30811600</v>
      </c>
    </row>
    <row r="68" spans="1:7" x14ac:dyDescent="0.2">
      <c r="A68" s="259">
        <v>44013</v>
      </c>
      <c r="B68" s="258">
        <v>7.39</v>
      </c>
      <c r="C68" s="258">
        <v>8.49</v>
      </c>
      <c r="D68" s="258">
        <v>7.35</v>
      </c>
      <c r="E68" s="258">
        <v>7.66</v>
      </c>
      <c r="F68" s="258">
        <v>7.66</v>
      </c>
      <c r="G68" s="258">
        <v>21410600</v>
      </c>
    </row>
    <row r="69" spans="1:7" x14ac:dyDescent="0.2">
      <c r="A69" s="259">
        <v>44044</v>
      </c>
      <c r="B69" s="258">
        <v>7.67</v>
      </c>
      <c r="C69" s="258">
        <v>9.92</v>
      </c>
      <c r="D69" s="258">
        <v>7.4850000000000003</v>
      </c>
      <c r="E69" s="258">
        <v>9.74</v>
      </c>
      <c r="F69" s="258">
        <v>9.74</v>
      </c>
      <c r="G69" s="258">
        <v>21151600</v>
      </c>
    </row>
    <row r="70" spans="1:7" x14ac:dyDescent="0.2">
      <c r="A70" s="259">
        <v>44075</v>
      </c>
      <c r="B70" s="258">
        <v>9.8000000000000007</v>
      </c>
      <c r="C70" s="258">
        <v>10.585000000000001</v>
      </c>
      <c r="D70" s="258">
        <v>8.89</v>
      </c>
      <c r="E70" s="258">
        <v>9.48</v>
      </c>
      <c r="F70" s="258">
        <v>9.48</v>
      </c>
      <c r="G70" s="258">
        <v>21612500</v>
      </c>
    </row>
    <row r="71" spans="1:7" x14ac:dyDescent="0.2">
      <c r="A71" s="259">
        <v>44105</v>
      </c>
      <c r="B71" s="258">
        <v>9.5</v>
      </c>
      <c r="C71" s="258">
        <v>9.59</v>
      </c>
      <c r="D71" s="258">
        <v>6.59</v>
      </c>
      <c r="E71" s="258">
        <v>6.7</v>
      </c>
      <c r="F71" s="258">
        <v>6.7</v>
      </c>
      <c r="G71" s="258">
        <v>22294500</v>
      </c>
    </row>
    <row r="72" spans="1:7" x14ac:dyDescent="0.2">
      <c r="A72" s="259">
        <v>44136</v>
      </c>
      <c r="B72" s="258">
        <v>6.8</v>
      </c>
      <c r="C72" s="258">
        <v>10.36</v>
      </c>
      <c r="D72" s="258">
        <v>6.56</v>
      </c>
      <c r="E72" s="258">
        <v>9.74</v>
      </c>
      <c r="F72" s="258">
        <v>9.74</v>
      </c>
      <c r="G72" s="258">
        <v>25087100</v>
      </c>
    </row>
    <row r="73" spans="1:7" x14ac:dyDescent="0.2">
      <c r="A73" s="259">
        <v>44166</v>
      </c>
      <c r="B73" s="258">
        <v>9.83</v>
      </c>
      <c r="C73" s="258">
        <v>11.53</v>
      </c>
      <c r="D73" s="258">
        <v>9.01</v>
      </c>
      <c r="E73" s="258">
        <v>11.37</v>
      </c>
      <c r="F73" s="258">
        <v>11.37</v>
      </c>
      <c r="G73" s="258">
        <v>20930400</v>
      </c>
    </row>
    <row r="74" spans="1:7" x14ac:dyDescent="0.2">
      <c r="A74" s="259">
        <v>44197</v>
      </c>
      <c r="B74" s="258">
        <v>11.37</v>
      </c>
      <c r="C74" s="258">
        <v>17.48</v>
      </c>
      <c r="D74" s="258">
        <v>11.05</v>
      </c>
      <c r="E74" s="258">
        <v>13.99</v>
      </c>
      <c r="F74" s="258">
        <v>13.99</v>
      </c>
      <c r="G74" s="258">
        <v>33032600</v>
      </c>
    </row>
    <row r="75" spans="1:7" x14ac:dyDescent="0.2">
      <c r="A75" s="259">
        <v>44228</v>
      </c>
      <c r="B75" s="258">
        <v>14.12</v>
      </c>
      <c r="C75" s="258">
        <v>15.54</v>
      </c>
      <c r="D75" s="258">
        <v>13.26</v>
      </c>
      <c r="E75" s="258">
        <v>14.31</v>
      </c>
      <c r="F75" s="258">
        <v>14.31</v>
      </c>
      <c r="G75" s="258">
        <v>14720800</v>
      </c>
    </row>
    <row r="76" spans="1:7" x14ac:dyDescent="0.2">
      <c r="A76" s="259">
        <v>44256</v>
      </c>
      <c r="B76" s="258">
        <v>14.92</v>
      </c>
      <c r="C76" s="258">
        <v>19.68</v>
      </c>
      <c r="D76" s="258">
        <v>14.7</v>
      </c>
      <c r="E76" s="258">
        <v>14.95</v>
      </c>
      <c r="F76" s="258">
        <v>14.95</v>
      </c>
      <c r="G76" s="285">
        <v>22971500</v>
      </c>
    </row>
    <row r="77" spans="1:7" x14ac:dyDescent="0.2">
      <c r="A77" s="259">
        <v>44287</v>
      </c>
      <c r="B77" s="258">
        <v>15.07</v>
      </c>
      <c r="C77" s="258">
        <v>16.45</v>
      </c>
      <c r="D77" s="258">
        <v>14.17</v>
      </c>
      <c r="E77" s="258">
        <v>14.47</v>
      </c>
      <c r="F77" s="258">
        <v>14.47</v>
      </c>
      <c r="G77" s="285">
        <v>15249400</v>
      </c>
    </row>
    <row r="78" spans="1:7" x14ac:dyDescent="0.2">
      <c r="A78" s="259">
        <v>44317</v>
      </c>
      <c r="B78" s="258">
        <v>14.42</v>
      </c>
      <c r="C78" s="258">
        <v>19.600000000000001</v>
      </c>
      <c r="D78" s="258">
        <v>14.18</v>
      </c>
      <c r="E78" s="258">
        <v>19.48</v>
      </c>
      <c r="F78" s="258">
        <v>19.48</v>
      </c>
      <c r="G78" s="285">
        <v>17347500</v>
      </c>
    </row>
    <row r="79" spans="1:7" x14ac:dyDescent="0.2">
      <c r="A79" s="259">
        <v>44348</v>
      </c>
      <c r="B79" s="258">
        <v>19.8</v>
      </c>
      <c r="C79" s="258">
        <v>21.42</v>
      </c>
      <c r="D79" s="258">
        <v>18.37</v>
      </c>
      <c r="E79" s="258">
        <v>20.7</v>
      </c>
      <c r="F79" s="258">
        <v>20.7</v>
      </c>
      <c r="G79" s="285">
        <v>35739300</v>
      </c>
    </row>
    <row r="80" spans="1:7" x14ac:dyDescent="0.2">
      <c r="A80" s="259">
        <v>44378</v>
      </c>
      <c r="B80" s="258">
        <v>20.76</v>
      </c>
      <c r="C80" s="258">
        <v>20.99</v>
      </c>
      <c r="D80" s="258">
        <v>14.66</v>
      </c>
      <c r="E80" s="258">
        <v>15.03</v>
      </c>
      <c r="F80" s="258">
        <v>15.03</v>
      </c>
      <c r="G80" s="285">
        <v>14840900</v>
      </c>
    </row>
    <row r="81" spans="1:7" x14ac:dyDescent="0.2">
      <c r="A81" s="259">
        <v>44409</v>
      </c>
      <c r="B81" s="258">
        <v>15.07</v>
      </c>
      <c r="C81" s="258">
        <v>15.5</v>
      </c>
      <c r="D81" s="258">
        <v>11.57</v>
      </c>
      <c r="E81" s="258">
        <v>12.92</v>
      </c>
      <c r="F81" s="258">
        <v>12.92</v>
      </c>
      <c r="G81" s="285">
        <v>22372300</v>
      </c>
    </row>
    <row r="82" spans="1:7" x14ac:dyDescent="0.2">
      <c r="A82" s="284"/>
      <c r="G82" s="285"/>
    </row>
    <row r="83" spans="1:7" x14ac:dyDescent="0.2">
      <c r="A83" s="28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R88"/>
  <sheetViews>
    <sheetView zoomScale="80" zoomScaleNormal="80" workbookViewId="0">
      <selection activeCell="A16" sqref="A16"/>
    </sheetView>
  </sheetViews>
  <sheetFormatPr baseColWidth="10" defaultColWidth="8.83203125" defaultRowHeight="13" x14ac:dyDescent="0.15"/>
  <cols>
    <col min="1" max="1" width="72.5" bestFit="1" customWidth="1"/>
    <col min="2" max="2" width="14.83203125" customWidth="1"/>
    <col min="3" max="7" width="14" bestFit="1" customWidth="1"/>
    <col min="8" max="12" width="12" customWidth="1"/>
    <col min="13" max="13" width="14.33203125" bestFit="1" customWidth="1"/>
    <col min="14" max="16" width="12.83203125" bestFit="1" customWidth="1"/>
    <col min="17" max="17" width="12" customWidth="1"/>
    <col min="18" max="18" width="13.1640625" bestFit="1" customWidth="1"/>
    <col min="19" max="201" width="12" customWidth="1"/>
  </cols>
  <sheetData>
    <row r="4" spans="1:17" x14ac:dyDescent="0.15">
      <c r="A4" s="1" t="s">
        <v>0</v>
      </c>
      <c r="B4" s="1"/>
    </row>
    <row r="5" spans="1:17" ht="20" x14ac:dyDescent="0.2">
      <c r="A5" s="2" t="s">
        <v>1</v>
      </c>
      <c r="B5" s="2"/>
    </row>
    <row r="7" spans="1:17" ht="14" x14ac:dyDescent="0.15">
      <c r="A7" s="3" t="s">
        <v>2</v>
      </c>
      <c r="B7" s="3"/>
    </row>
    <row r="10" spans="1:17" ht="14" x14ac:dyDescent="0.15">
      <c r="A10" s="4" t="s">
        <v>3</v>
      </c>
      <c r="B10" s="4"/>
      <c r="I10" s="37"/>
    </row>
    <row r="11" spans="1:17" ht="14" x14ac:dyDescent="0.15">
      <c r="A11" s="5" t="s">
        <v>4</v>
      </c>
      <c r="B11" s="272" t="s">
        <v>1009</v>
      </c>
      <c r="C11" s="6" t="s">
        <v>5</v>
      </c>
      <c r="D11" s="6" t="s">
        <v>6</v>
      </c>
      <c r="E11" s="6" t="s">
        <v>7</v>
      </c>
      <c r="F11" s="6" t="s">
        <v>8</v>
      </c>
      <c r="G11" s="6" t="s">
        <v>9</v>
      </c>
      <c r="H11" s="5"/>
      <c r="I11" s="5"/>
      <c r="J11" s="5"/>
      <c r="K11" s="5"/>
      <c r="L11" s="5"/>
    </row>
    <row r="12" spans="1:17" ht="14" x14ac:dyDescent="0.15">
      <c r="A12" s="5" t="s">
        <v>10</v>
      </c>
      <c r="B12" s="272" t="s">
        <v>11</v>
      </c>
      <c r="C12" s="6" t="s">
        <v>11</v>
      </c>
      <c r="D12" s="6" t="s">
        <v>11</v>
      </c>
      <c r="E12" s="6" t="s">
        <v>11</v>
      </c>
      <c r="F12" s="6" t="s">
        <v>11</v>
      </c>
      <c r="G12" s="6" t="s">
        <v>11</v>
      </c>
      <c r="H12" s="5"/>
      <c r="I12" s="5"/>
      <c r="J12" s="5"/>
      <c r="K12" s="5"/>
      <c r="L12" s="5"/>
    </row>
    <row r="13" spans="1:17" ht="14" x14ac:dyDescent="0.15">
      <c r="A13" s="5" t="s">
        <v>12</v>
      </c>
      <c r="B13" s="272" t="s">
        <v>13</v>
      </c>
      <c r="C13" s="6" t="s">
        <v>13</v>
      </c>
      <c r="D13" s="6" t="s">
        <v>13</v>
      </c>
      <c r="E13" s="6" t="s">
        <v>13</v>
      </c>
      <c r="F13" s="6" t="s">
        <v>13</v>
      </c>
      <c r="G13" s="6" t="s">
        <v>13</v>
      </c>
      <c r="H13" s="5"/>
      <c r="I13" s="264"/>
      <c r="J13" s="5"/>
      <c r="K13" s="5"/>
      <c r="L13" s="5"/>
    </row>
    <row r="14" spans="1:17" ht="14" x14ac:dyDescent="0.15">
      <c r="A14" s="5" t="s">
        <v>14</v>
      </c>
      <c r="B14" s="272" t="s">
        <v>15</v>
      </c>
      <c r="C14" s="6" t="s">
        <v>15</v>
      </c>
      <c r="D14" s="6" t="s">
        <v>15</v>
      </c>
      <c r="E14" s="6" t="s">
        <v>15</v>
      </c>
      <c r="F14" s="6" t="s">
        <v>15</v>
      </c>
      <c r="G14" s="6" t="s">
        <v>15</v>
      </c>
      <c r="H14" s="5"/>
      <c r="I14" s="5"/>
      <c r="J14" s="5"/>
      <c r="K14" s="5"/>
      <c r="L14" s="5"/>
    </row>
    <row r="15" spans="1:17" ht="14" x14ac:dyDescent="0.15">
      <c r="A15" s="5" t="s">
        <v>16</v>
      </c>
      <c r="B15" s="272" t="s">
        <v>17</v>
      </c>
      <c r="C15" s="6" t="s">
        <v>17</v>
      </c>
      <c r="D15" s="6" t="s">
        <v>17</v>
      </c>
      <c r="E15" s="6" t="s">
        <v>17</v>
      </c>
      <c r="F15" s="6" t="s">
        <v>17</v>
      </c>
      <c r="G15" s="6" t="s">
        <v>17</v>
      </c>
      <c r="H15" s="5"/>
      <c r="I15" s="5" t="s">
        <v>276</v>
      </c>
      <c r="J15" s="76" t="str">
        <f>Ratios!K3</f>
        <v>σ</v>
      </c>
      <c r="K15" s="5"/>
      <c r="L15" s="5" t="s">
        <v>1011</v>
      </c>
      <c r="M15" s="64" t="s">
        <v>275</v>
      </c>
      <c r="N15" s="64" t="s">
        <v>274</v>
      </c>
      <c r="O15" s="64" t="s">
        <v>273</v>
      </c>
      <c r="P15" s="64" t="s">
        <v>272</v>
      </c>
    </row>
    <row r="16" spans="1:17" x14ac:dyDescent="0.15">
      <c r="A16" s="7" t="s">
        <v>18</v>
      </c>
      <c r="B16" s="11">
        <v>3271500</v>
      </c>
      <c r="C16" s="11">
        <v>3890000</v>
      </c>
      <c r="D16" s="11">
        <v>3680500</v>
      </c>
      <c r="E16" s="11">
        <v>4129100</v>
      </c>
      <c r="F16" s="11">
        <v>3201500</v>
      </c>
      <c r="G16" s="11">
        <v>2347419</v>
      </c>
      <c r="H16" s="7"/>
      <c r="I16" s="80">
        <f>AVERAGE(L16:P16)</f>
        <v>8.8571633111833567E-2</v>
      </c>
      <c r="J16" s="81">
        <f>STDEV(L16:P16)</f>
        <v>0.23314486975018206</v>
      </c>
      <c r="K16" s="7"/>
      <c r="L16" s="13">
        <f>(B16-C16)/C16</f>
        <v>-0.1589974293059126</v>
      </c>
      <c r="M16" s="13">
        <f>(C16-D16)/D16</f>
        <v>5.6921613911153378E-2</v>
      </c>
      <c r="N16" s="13">
        <f>(D16-E16)/E16</f>
        <v>-0.10864353006708484</v>
      </c>
      <c r="O16" s="13">
        <f>(E16-F16)/F16</f>
        <v>0.28973918475714511</v>
      </c>
      <c r="P16" s="13">
        <f>(F16-G16)/G16</f>
        <v>0.36383832626386681</v>
      </c>
      <c r="Q16" s="13"/>
    </row>
    <row r="17" spans="1:17" x14ac:dyDescent="0.15">
      <c r="A17" s="17" t="s">
        <v>158</v>
      </c>
      <c r="C17" s="11"/>
      <c r="D17" s="11"/>
      <c r="E17" s="11"/>
      <c r="F17" s="11"/>
      <c r="G17" s="11"/>
      <c r="H17" s="7"/>
      <c r="I17" s="9"/>
      <c r="J17" s="9"/>
      <c r="K17" s="7"/>
      <c r="L17" s="7"/>
      <c r="M17" s="13"/>
      <c r="N17" s="13"/>
      <c r="O17" s="13"/>
      <c r="P17" s="13"/>
      <c r="Q17" s="13"/>
    </row>
    <row r="18" spans="1:17" x14ac:dyDescent="0.15">
      <c r="A18" s="7" t="s">
        <v>19</v>
      </c>
      <c r="B18" s="11">
        <v>1725900</v>
      </c>
      <c r="C18" s="11">
        <v>2226100</v>
      </c>
      <c r="D18" s="11">
        <v>2028200</v>
      </c>
      <c r="E18" s="11">
        <v>2309600</v>
      </c>
      <c r="F18" s="11">
        <v>1903800</v>
      </c>
      <c r="G18" s="11">
        <v>1415344</v>
      </c>
      <c r="H18" s="7"/>
      <c r="I18" s="80">
        <f t="shared" ref="I18:I23" si="0">AVERAGE(L18:P18)</f>
        <v>6.1860870004345134E-2</v>
      </c>
      <c r="J18" s="81">
        <f t="shared" ref="J18:J23" si="1">STDEV(L18:P18)</f>
        <v>0.23465881699142788</v>
      </c>
      <c r="K18" s="7"/>
      <c r="L18" s="13">
        <f>(B18-C18)/C18</f>
        <v>-0.22469790216072952</v>
      </c>
      <c r="M18" s="13">
        <f>(C18-D18)/D18</f>
        <v>9.7574203727443048E-2</v>
      </c>
      <c r="N18" s="13">
        <f>(D18-E18)/E18</f>
        <v>-0.12183927952892276</v>
      </c>
      <c r="O18" s="13">
        <f>(E18-F18)/F18</f>
        <v>0.21315264208425255</v>
      </c>
      <c r="P18" s="13">
        <f>(F18-G18)/G18</f>
        <v>0.34511468589968236</v>
      </c>
      <c r="Q18" s="13"/>
    </row>
    <row r="19" spans="1:17" x14ac:dyDescent="0.15">
      <c r="A19" s="7" t="s">
        <v>20</v>
      </c>
      <c r="B19" s="11">
        <v>719300</v>
      </c>
      <c r="C19" s="11">
        <v>1008700</v>
      </c>
      <c r="D19" s="11">
        <v>835500</v>
      </c>
      <c r="E19" s="11">
        <v>897600</v>
      </c>
      <c r="F19" s="11">
        <v>806800</v>
      </c>
      <c r="G19" s="11">
        <v>661789</v>
      </c>
      <c r="H19" s="7"/>
      <c r="I19" s="80">
        <f t="shared" si="0"/>
        <v>3.657513201654846E-2</v>
      </c>
      <c r="J19" s="81">
        <f t="shared" si="1"/>
        <v>0.21451388272880736</v>
      </c>
      <c r="K19" s="7"/>
      <c r="L19" s="13">
        <f t="shared" ref="L19:M23" si="2">(B19-C19)/C19</f>
        <v>-0.28690393575889761</v>
      </c>
      <c r="M19" s="13">
        <f t="shared" si="2"/>
        <v>0.20730101735487733</v>
      </c>
      <c r="N19" s="13">
        <f t="shared" ref="N19:P21" si="3">(D19-E19)/E19</f>
        <v>-6.9184491978609625E-2</v>
      </c>
      <c r="O19" s="13">
        <f t="shared" si="3"/>
        <v>0.11254338125929599</v>
      </c>
      <c r="P19" s="13">
        <f t="shared" si="3"/>
        <v>0.21911968920607625</v>
      </c>
      <c r="Q19" s="13"/>
    </row>
    <row r="20" spans="1:17" x14ac:dyDescent="0.15">
      <c r="A20" s="7" t="s">
        <v>21</v>
      </c>
      <c r="B20" s="11">
        <v>486600</v>
      </c>
      <c r="C20" s="11">
        <v>430400</v>
      </c>
      <c r="D20" s="11">
        <v>445400</v>
      </c>
      <c r="E20" s="11">
        <v>454400</v>
      </c>
      <c r="F20" s="11">
        <v>355400</v>
      </c>
      <c r="G20" s="11">
        <v>282232</v>
      </c>
      <c r="H20" s="7"/>
      <c r="I20" s="80">
        <f t="shared" si="0"/>
        <v>0.12297987156055439</v>
      </c>
      <c r="J20" s="81">
        <f t="shared" si="1"/>
        <v>0.14812247599403155</v>
      </c>
      <c r="K20" s="7"/>
      <c r="L20" s="13">
        <f t="shared" si="2"/>
        <v>0.13057620817843865</v>
      </c>
      <c r="M20" s="13">
        <f t="shared" si="2"/>
        <v>-3.3677593174674447E-2</v>
      </c>
      <c r="N20" s="13">
        <f t="shared" si="3"/>
        <v>-1.9806338028169015E-2</v>
      </c>
      <c r="O20" s="13">
        <f t="shared" si="3"/>
        <v>0.27855936972425438</v>
      </c>
      <c r="P20" s="13">
        <f t="shared" si="3"/>
        <v>0.25924771110292244</v>
      </c>
      <c r="Q20" s="13"/>
    </row>
    <row r="21" spans="1:17" x14ac:dyDescent="0.15">
      <c r="A21" s="7" t="s">
        <v>22</v>
      </c>
      <c r="B21" s="11">
        <v>188500</v>
      </c>
      <c r="C21" s="11">
        <v>197700</v>
      </c>
      <c r="D21" s="11">
        <v>163400</v>
      </c>
      <c r="E21" s="11">
        <v>159000</v>
      </c>
      <c r="F21" s="11">
        <v>63100</v>
      </c>
      <c r="G21" s="11">
        <v>13084</v>
      </c>
      <c r="H21" s="7"/>
      <c r="I21" s="80">
        <f t="shared" si="0"/>
        <v>1.1067092284991222</v>
      </c>
      <c r="J21" s="81">
        <f t="shared" si="1"/>
        <v>1.6466409072322952</v>
      </c>
      <c r="K21" s="7"/>
      <c r="L21" s="13">
        <f t="shared" si="2"/>
        <v>-4.6535154274152758E-2</v>
      </c>
      <c r="M21" s="13">
        <f t="shared" si="2"/>
        <v>0.20991432068543453</v>
      </c>
      <c r="N21" s="13">
        <f t="shared" si="3"/>
        <v>2.7672955974842768E-2</v>
      </c>
      <c r="O21" s="13">
        <f t="shared" si="3"/>
        <v>1.5198098256735342</v>
      </c>
      <c r="P21" s="13">
        <f t="shared" si="3"/>
        <v>3.8226841944359524</v>
      </c>
      <c r="Q21" s="13"/>
    </row>
    <row r="22" spans="1:17" x14ac:dyDescent="0.15">
      <c r="A22" s="7" t="s">
        <v>23</v>
      </c>
      <c r="B22" s="18">
        <v>24700</v>
      </c>
      <c r="C22" s="18">
        <v>24300</v>
      </c>
      <c r="D22" s="18">
        <v>78000</v>
      </c>
      <c r="E22" s="18">
        <v>59800</v>
      </c>
      <c r="F22" s="18">
        <v>88700</v>
      </c>
      <c r="G22" s="19">
        <v>0</v>
      </c>
      <c r="H22" s="7"/>
      <c r="I22" s="80">
        <f t="shared" si="0"/>
        <v>6.1305966216237497E-2</v>
      </c>
      <c r="J22" s="81">
        <f t="shared" si="1"/>
        <v>0.64308683247922849</v>
      </c>
      <c r="K22" s="7"/>
      <c r="L22" s="60">
        <f t="shared" si="2"/>
        <v>1.646090534979424E-2</v>
      </c>
      <c r="M22" s="60">
        <f t="shared" si="2"/>
        <v>-0.68846153846153846</v>
      </c>
      <c r="N22" s="60">
        <f>(D22-E22)/E22</f>
        <v>0.30434782608695654</v>
      </c>
      <c r="O22" s="60">
        <f>(E22-F22)/F22</f>
        <v>-0.32581736189402483</v>
      </c>
      <c r="P22" s="60">
        <v>1</v>
      </c>
      <c r="Q22" s="13"/>
    </row>
    <row r="23" spans="1:17" x14ac:dyDescent="0.15">
      <c r="A23" s="16" t="s">
        <v>159</v>
      </c>
      <c r="B23" s="273">
        <f>SUM(B18:B22)-A24</f>
        <v>3145000</v>
      </c>
      <c r="C23" s="20">
        <v>3887200</v>
      </c>
      <c r="D23" s="20">
        <v>3550500</v>
      </c>
      <c r="E23" s="20">
        <v>3880400</v>
      </c>
      <c r="F23" s="20">
        <v>3217800</v>
      </c>
      <c r="G23" s="20">
        <v>2372449</v>
      </c>
      <c r="H23" s="7"/>
      <c r="I23" s="80">
        <f t="shared" si="0"/>
        <v>7.6223486239319099E-2</v>
      </c>
      <c r="J23" s="81">
        <f t="shared" si="1"/>
        <v>0.21965458815316269</v>
      </c>
      <c r="K23" s="7"/>
      <c r="L23" s="63">
        <f t="shared" si="2"/>
        <v>-0.19093434863140563</v>
      </c>
      <c r="M23" s="63">
        <f t="shared" si="2"/>
        <v>9.4831713843120682E-2</v>
      </c>
      <c r="N23" s="63">
        <f>(D23-E23)/E23</f>
        <v>-8.5017008555818993E-2</v>
      </c>
      <c r="O23" s="63">
        <f>(E23-F23)/F23</f>
        <v>0.20591708620796817</v>
      </c>
      <c r="P23" s="63">
        <f>(F23-G23)/G23</f>
        <v>0.35631998833273126</v>
      </c>
      <c r="Q23" s="13"/>
    </row>
    <row r="24" spans="1:17" x14ac:dyDescent="0.15">
      <c r="A24" s="11"/>
      <c r="C24" s="11"/>
      <c r="D24" s="11"/>
      <c r="E24" s="11"/>
      <c r="F24" s="11"/>
      <c r="G24" s="11"/>
      <c r="H24" s="7"/>
      <c r="I24" s="7"/>
      <c r="J24" s="7"/>
      <c r="K24" s="7"/>
      <c r="L24" s="13"/>
      <c r="M24" s="13"/>
      <c r="N24" s="13"/>
      <c r="O24" s="13"/>
      <c r="P24" s="13"/>
      <c r="Q24" s="13"/>
    </row>
    <row r="25" spans="1:17" x14ac:dyDescent="0.15">
      <c r="A25" s="7" t="s">
        <v>25</v>
      </c>
      <c r="B25" s="11">
        <f>B16-B23</f>
        <v>126500</v>
      </c>
      <c r="C25" s="11">
        <v>2800</v>
      </c>
      <c r="D25" s="11">
        <v>130000</v>
      </c>
      <c r="E25" s="11">
        <v>248700</v>
      </c>
      <c r="F25" s="11">
        <v>-16300</v>
      </c>
      <c r="G25" s="11">
        <v>-25030</v>
      </c>
      <c r="H25" s="7"/>
      <c r="I25" s="80">
        <f>AVERAGE(L25:P25)</f>
        <v>11.865855639661998</v>
      </c>
      <c r="J25" s="81">
        <f>STDEV(L25:P25)</f>
        <v>19.451042058016135</v>
      </c>
      <c r="K25" s="7"/>
      <c r="L25" s="13">
        <f>(B25-C25)/C25</f>
        <v>44.178571428571431</v>
      </c>
      <c r="M25" s="13">
        <f>(C25-D25)/D25</f>
        <v>-0.97846153846153849</v>
      </c>
      <c r="N25" s="13">
        <f>(D25-E25)/E25</f>
        <v>-0.4772818657016486</v>
      </c>
      <c r="O25" s="13">
        <f>(E25-F25)/-F25</f>
        <v>16.257668711656443</v>
      </c>
      <c r="P25" s="13">
        <f>(F25-G25)/-G25</f>
        <v>0.34878146224530565</v>
      </c>
      <c r="Q25" s="13"/>
    </row>
    <row r="26" spans="1:17" x14ac:dyDescent="0.15">
      <c r="A26" s="7"/>
      <c r="C26" s="11"/>
      <c r="D26" s="11"/>
      <c r="E26" s="11"/>
      <c r="F26" s="11"/>
      <c r="G26" s="11"/>
      <c r="H26" s="7"/>
      <c r="I26" s="7"/>
      <c r="J26" s="7"/>
      <c r="K26" s="7"/>
      <c r="L26" s="7"/>
      <c r="M26" s="13"/>
      <c r="N26" s="13"/>
      <c r="O26" s="13"/>
      <c r="P26" s="13"/>
      <c r="Q26" s="13"/>
    </row>
    <row r="27" spans="1:17" x14ac:dyDescent="0.15">
      <c r="A27" s="7" t="s">
        <v>26</v>
      </c>
      <c r="B27" s="11">
        <v>181500</v>
      </c>
      <c r="C27" s="11">
        <v>191300</v>
      </c>
      <c r="D27" s="11">
        <v>163600</v>
      </c>
      <c r="E27" s="11">
        <v>137200</v>
      </c>
      <c r="F27" s="12">
        <v>0</v>
      </c>
      <c r="G27" s="12">
        <v>0</v>
      </c>
      <c r="H27" s="7"/>
      <c r="I27" s="7"/>
      <c r="J27" s="7"/>
      <c r="K27" s="7"/>
      <c r="L27" s="7"/>
      <c r="M27" s="13"/>
      <c r="N27" s="13"/>
      <c r="O27" s="13"/>
      <c r="P27" s="13"/>
      <c r="Q27" s="13"/>
    </row>
    <row r="28" spans="1:17" x14ac:dyDescent="0.15">
      <c r="A28" s="7" t="s">
        <v>27</v>
      </c>
      <c r="B28" s="12">
        <v>0</v>
      </c>
      <c r="C28" s="12">
        <v>0</v>
      </c>
      <c r="D28" s="11">
        <v>35300</v>
      </c>
      <c r="E28" s="11">
        <v>56500</v>
      </c>
      <c r="F28" s="11">
        <v>15500</v>
      </c>
      <c r="G28" s="12">
        <v>0</v>
      </c>
      <c r="H28" s="7"/>
      <c r="I28" s="7"/>
      <c r="J28" s="7"/>
      <c r="K28" s="7"/>
      <c r="L28" s="7"/>
      <c r="M28" s="13"/>
      <c r="N28" s="13"/>
      <c r="O28" s="13"/>
      <c r="P28" s="13"/>
      <c r="Q28" s="13"/>
    </row>
    <row r="29" spans="1:17" x14ac:dyDescent="0.15">
      <c r="A29" s="7" t="s">
        <v>28</v>
      </c>
      <c r="B29" s="11">
        <v>0</v>
      </c>
      <c r="C29" s="12">
        <v>0</v>
      </c>
      <c r="D29" s="12">
        <v>0</v>
      </c>
      <c r="E29" s="12">
        <v>0</v>
      </c>
      <c r="F29" s="11">
        <v>86800</v>
      </c>
      <c r="G29" s="11">
        <v>45695</v>
      </c>
      <c r="H29" s="7"/>
      <c r="I29" s="7"/>
      <c r="J29" s="7"/>
      <c r="K29" s="7"/>
      <c r="L29" s="7"/>
      <c r="M29" s="13"/>
      <c r="N29" s="13"/>
      <c r="O29" s="13"/>
      <c r="P29" s="13"/>
      <c r="Q29" s="13"/>
    </row>
    <row r="30" spans="1:17" x14ac:dyDescent="0.15">
      <c r="A30" s="7" t="s">
        <v>29</v>
      </c>
      <c r="B30" s="11">
        <v>0</v>
      </c>
      <c r="C30" s="12">
        <v>0</v>
      </c>
      <c r="D30" s="12">
        <v>0</v>
      </c>
      <c r="E30" s="12">
        <v>0</v>
      </c>
      <c r="F30" s="12">
        <v>0</v>
      </c>
      <c r="G30" s="11">
        <v>9184</v>
      </c>
      <c r="H30" s="7"/>
      <c r="I30" s="7"/>
      <c r="J30" s="7"/>
      <c r="K30" s="7"/>
      <c r="L30" s="7"/>
      <c r="M30" s="13"/>
      <c r="N30" s="13"/>
      <c r="O30" s="13"/>
      <c r="P30" s="13"/>
      <c r="Q30" s="13"/>
    </row>
    <row r="31" spans="1:17" x14ac:dyDescent="0.15">
      <c r="A31" s="7" t="s">
        <v>30</v>
      </c>
      <c r="B31" s="66"/>
      <c r="C31" s="19">
        <v>0</v>
      </c>
      <c r="D31" s="19">
        <v>0</v>
      </c>
      <c r="E31" s="19">
        <v>0</v>
      </c>
      <c r="F31" s="18">
        <v>12900</v>
      </c>
      <c r="G31" s="19" t="s">
        <v>24</v>
      </c>
      <c r="H31" s="7"/>
      <c r="I31" s="7"/>
      <c r="J31" s="7"/>
      <c r="K31" s="7"/>
      <c r="L31" s="7"/>
      <c r="M31" s="13"/>
      <c r="N31" s="13"/>
      <c r="O31" s="13"/>
      <c r="P31" s="13"/>
      <c r="Q31" s="13"/>
    </row>
    <row r="32" spans="1:17" x14ac:dyDescent="0.15">
      <c r="A32" s="16" t="s">
        <v>160</v>
      </c>
      <c r="B32" s="12">
        <f>SUM(B27:B31)</f>
        <v>181500</v>
      </c>
      <c r="C32" s="11">
        <v>191300</v>
      </c>
      <c r="D32" s="11">
        <v>198900</v>
      </c>
      <c r="E32" s="11">
        <v>193700</v>
      </c>
      <c r="F32" s="11">
        <v>115200</v>
      </c>
      <c r="G32" s="11">
        <v>54879</v>
      </c>
      <c r="H32" s="7"/>
      <c r="I32" s="80">
        <f>AVERAGE(L32:P32)</f>
        <v>0.34359885406504115</v>
      </c>
      <c r="J32" s="81">
        <f>STDEV(L32:P32)</f>
        <v>0.52129717620253191</v>
      </c>
      <c r="K32" s="7"/>
      <c r="L32" s="13">
        <f>(B32-C32)/C32</f>
        <v>-5.1228437009932043E-2</v>
      </c>
      <c r="M32" s="13">
        <f>(C32-D32)/D32</f>
        <v>-3.8210155857214684E-2</v>
      </c>
      <c r="N32" s="13">
        <f>(D32-E32)/E32</f>
        <v>2.6845637583892617E-2</v>
      </c>
      <c r="O32" s="13">
        <f>(E32-F32)/F32</f>
        <v>0.68142361111111116</v>
      </c>
      <c r="P32" s="13">
        <f>(F32-G32)/G32</f>
        <v>1.0991636144973487</v>
      </c>
      <c r="Q32" s="13"/>
    </row>
    <row r="33" spans="1:18" x14ac:dyDescent="0.15">
      <c r="A33" s="7"/>
      <c r="C33" s="11"/>
      <c r="D33" s="11"/>
      <c r="E33" s="11"/>
      <c r="F33" s="11"/>
      <c r="G33" s="11"/>
      <c r="H33" s="7"/>
      <c r="I33" s="7"/>
      <c r="J33" s="7"/>
      <c r="K33" s="7"/>
      <c r="L33" s="13"/>
      <c r="M33" s="13"/>
      <c r="N33" s="13"/>
      <c r="O33" s="13"/>
      <c r="P33" s="13"/>
      <c r="Q33" s="13"/>
    </row>
    <row r="34" spans="1:18" x14ac:dyDescent="0.15">
      <c r="A34" s="7" t="s">
        <v>31</v>
      </c>
      <c r="B34" s="11">
        <v>0</v>
      </c>
      <c r="C34" s="12">
        <v>0</v>
      </c>
      <c r="D34" s="11">
        <v>114100</v>
      </c>
      <c r="E34" s="12">
        <v>0</v>
      </c>
      <c r="F34" s="12">
        <v>0</v>
      </c>
      <c r="G34" s="12">
        <v>0</v>
      </c>
      <c r="H34" s="7"/>
      <c r="I34" s="7"/>
      <c r="J34" s="7"/>
      <c r="K34" s="7"/>
      <c r="L34" s="13"/>
      <c r="M34" s="13"/>
      <c r="N34" s="13"/>
      <c r="O34" s="13"/>
      <c r="P34" s="13"/>
      <c r="Q34" s="13"/>
    </row>
    <row r="35" spans="1:18" x14ac:dyDescent="0.15">
      <c r="A35" s="7" t="s">
        <v>32</v>
      </c>
      <c r="B35" s="11">
        <v>5800</v>
      </c>
      <c r="C35" s="11">
        <v>8800</v>
      </c>
      <c r="D35" s="11">
        <v>12000</v>
      </c>
      <c r="E35" s="11">
        <v>10400</v>
      </c>
      <c r="F35" s="11">
        <v>6400</v>
      </c>
      <c r="G35" s="11">
        <v>1851</v>
      </c>
      <c r="H35" s="7"/>
      <c r="I35" s="80">
        <f>AVERAGE(L35:P35)</f>
        <v>0.52577217757930883</v>
      </c>
      <c r="J35" s="81">
        <f>STDEV(L35:P35)</f>
        <v>1.1466465093237801</v>
      </c>
      <c r="K35" s="7"/>
      <c r="L35" s="13">
        <f>(B35-C35)/C35</f>
        <v>-0.34090909090909088</v>
      </c>
      <c r="M35" s="13">
        <f>(C35-D35)/D35</f>
        <v>-0.26666666666666666</v>
      </c>
      <c r="N35" s="13">
        <f>(D35-E35)/E35</f>
        <v>0.15384615384615385</v>
      </c>
      <c r="O35" s="13">
        <f>(E35-F35)/F35</f>
        <v>0.625</v>
      </c>
      <c r="P35" s="13">
        <f>(F35-G35)/G35</f>
        <v>2.457590491626148</v>
      </c>
      <c r="Q35" s="13"/>
    </row>
    <row r="36" spans="1:18" x14ac:dyDescent="0.15">
      <c r="A36" s="7" t="s">
        <v>33</v>
      </c>
      <c r="B36" s="11">
        <v>6700</v>
      </c>
      <c r="C36" s="11">
        <v>11100</v>
      </c>
      <c r="D36" s="11">
        <v>4700</v>
      </c>
      <c r="E36" s="12">
        <v>0</v>
      </c>
      <c r="F36" s="12">
        <v>0</v>
      </c>
      <c r="G36" s="12">
        <v>0</v>
      </c>
      <c r="H36" s="7"/>
      <c r="I36" s="80">
        <f>AVERAGE(L36:P36)</f>
        <v>0.65510191042105936</v>
      </c>
      <c r="J36" s="81">
        <f>STDEV(L36:P36)</f>
        <v>0.92840919007641665</v>
      </c>
      <c r="K36" s="7"/>
      <c r="L36" s="13">
        <f>(B36-C36)/C36</f>
        <v>-0.3963963963963964</v>
      </c>
      <c r="M36" s="13">
        <f>(C36-D36)/D36</f>
        <v>1.3617021276595744</v>
      </c>
      <c r="N36" s="13">
        <v>1</v>
      </c>
      <c r="O36" s="62" t="s">
        <v>271</v>
      </c>
      <c r="P36" s="62" t="s">
        <v>271</v>
      </c>
      <c r="Q36" s="13"/>
    </row>
    <row r="37" spans="1:18" x14ac:dyDescent="0.15">
      <c r="A37" s="7" t="s">
        <v>34</v>
      </c>
      <c r="B37" s="11">
        <v>0</v>
      </c>
      <c r="C37" s="11">
        <v>5400</v>
      </c>
      <c r="D37" s="11">
        <v>-1900</v>
      </c>
      <c r="E37" s="11">
        <v>-35700</v>
      </c>
      <c r="F37" s="11">
        <v>-40400</v>
      </c>
      <c r="G37" s="12">
        <v>0</v>
      </c>
      <c r="H37" s="7"/>
      <c r="I37" s="80">
        <f>AVERAGE(L37:P37)</f>
        <v>0.98104412166117105</v>
      </c>
      <c r="J37" s="81">
        <f>STDEV(L37:P37)</f>
        <v>1.7930044025886034</v>
      </c>
      <c r="K37" s="7"/>
      <c r="L37" s="13">
        <f>(B37-C37)/-C37</f>
        <v>1</v>
      </c>
      <c r="M37" s="13">
        <f>(C37-D37)/-D37</f>
        <v>3.8421052631578947</v>
      </c>
      <c r="N37" s="13">
        <f>(D37-E37)/-E37</f>
        <v>0.9467787114845938</v>
      </c>
      <c r="O37" s="13">
        <f>(E37-F37)/-F37</f>
        <v>0.11633663366336634</v>
      </c>
      <c r="P37" s="13">
        <v>-1</v>
      </c>
      <c r="Q37" s="13"/>
    </row>
    <row r="38" spans="1:18" x14ac:dyDescent="0.15">
      <c r="A38" s="7" t="s">
        <v>35</v>
      </c>
      <c r="B38" s="11">
        <v>0</v>
      </c>
      <c r="C38" s="12">
        <v>0</v>
      </c>
      <c r="D38" s="12">
        <v>0</v>
      </c>
      <c r="E38" s="11">
        <v>201000</v>
      </c>
      <c r="F38" s="12">
        <v>0</v>
      </c>
      <c r="G38" s="12">
        <v>0</v>
      </c>
      <c r="H38" s="7"/>
      <c r="I38" s="7"/>
      <c r="J38" s="7"/>
      <c r="K38" s="7"/>
      <c r="L38" s="13"/>
      <c r="M38" s="13"/>
      <c r="N38" s="13"/>
      <c r="O38" s="13"/>
      <c r="P38" s="13"/>
      <c r="Q38" s="13"/>
    </row>
    <row r="39" spans="1:18" x14ac:dyDescent="0.15">
      <c r="A39" s="7" t="s">
        <v>1010</v>
      </c>
      <c r="B39" s="11">
        <v>44100</v>
      </c>
      <c r="C39" s="12"/>
      <c r="D39" s="12"/>
      <c r="E39" s="11"/>
      <c r="F39" s="12"/>
      <c r="G39" s="12"/>
      <c r="H39" s="7"/>
      <c r="I39" s="7"/>
      <c r="J39" s="7"/>
      <c r="K39" s="7"/>
      <c r="L39" s="13"/>
      <c r="M39" s="13"/>
      <c r="N39" s="13"/>
      <c r="O39" s="13"/>
      <c r="P39" s="13"/>
      <c r="Q39" s="13"/>
    </row>
    <row r="40" spans="1:18" x14ac:dyDescent="0.15">
      <c r="A40" s="7" t="s">
        <v>36</v>
      </c>
      <c r="C40" s="12">
        <v>0</v>
      </c>
      <c r="D40" s="12">
        <v>0</v>
      </c>
      <c r="E40" s="12">
        <v>0</v>
      </c>
      <c r="F40" s="11">
        <v>20400</v>
      </c>
      <c r="G40" s="12">
        <v>0</v>
      </c>
      <c r="H40" s="7"/>
      <c r="I40" s="7"/>
      <c r="J40" s="7"/>
      <c r="K40" s="7"/>
      <c r="L40" s="13"/>
      <c r="M40" s="13"/>
      <c r="N40" s="13"/>
      <c r="O40" s="13"/>
      <c r="P40" s="13"/>
      <c r="Q40" s="13"/>
    </row>
    <row r="41" spans="1:18" x14ac:dyDescent="0.15">
      <c r="A41" s="7" t="s">
        <v>37</v>
      </c>
      <c r="B41" s="11">
        <v>500</v>
      </c>
      <c r="C41" s="11">
        <v>-500</v>
      </c>
      <c r="D41" s="11">
        <v>-87600</v>
      </c>
      <c r="E41" s="12">
        <v>0</v>
      </c>
      <c r="F41" s="12">
        <v>0</v>
      </c>
      <c r="G41" s="12">
        <v>0</v>
      </c>
      <c r="H41" s="7"/>
      <c r="I41" s="7"/>
      <c r="J41" s="7"/>
      <c r="K41" s="7"/>
      <c r="L41" s="13"/>
      <c r="M41" s="13"/>
      <c r="N41" s="13"/>
      <c r="O41" s="13"/>
      <c r="P41" s="13"/>
      <c r="Q41" s="13"/>
    </row>
    <row r="42" spans="1:18" x14ac:dyDescent="0.15">
      <c r="A42" s="7" t="s">
        <v>38</v>
      </c>
      <c r="C42" s="12">
        <v>0</v>
      </c>
      <c r="D42" s="12">
        <v>0</v>
      </c>
      <c r="E42" s="11">
        <v>29200</v>
      </c>
      <c r="F42" s="12">
        <v>0</v>
      </c>
      <c r="G42" s="12">
        <v>0</v>
      </c>
      <c r="H42" s="7"/>
      <c r="I42" s="7"/>
      <c r="J42" s="7"/>
      <c r="K42" s="7"/>
      <c r="L42" s="13"/>
      <c r="M42" s="13"/>
      <c r="N42" s="13"/>
      <c r="O42" s="13"/>
      <c r="P42" s="13"/>
      <c r="Q42" s="13"/>
    </row>
    <row r="43" spans="1:18" x14ac:dyDescent="0.15">
      <c r="A43" s="7" t="s">
        <v>39</v>
      </c>
      <c r="C43" s="12">
        <v>0</v>
      </c>
      <c r="D43" s="12">
        <v>0</v>
      </c>
      <c r="E43" s="12">
        <v>0</v>
      </c>
      <c r="F43" s="11">
        <v>-128800</v>
      </c>
      <c r="G43" s="11">
        <v>-53028</v>
      </c>
      <c r="H43" s="21"/>
      <c r="I43" s="21"/>
      <c r="J43" s="21"/>
      <c r="K43" s="21"/>
      <c r="L43" s="13"/>
      <c r="M43" s="13"/>
      <c r="N43" s="13"/>
      <c r="O43" s="13"/>
      <c r="P43" s="13"/>
      <c r="Q43" s="13"/>
    </row>
    <row r="44" spans="1:18" x14ac:dyDescent="0.15">
      <c r="A44" s="7" t="s">
        <v>40</v>
      </c>
      <c r="C44" s="12">
        <v>0</v>
      </c>
      <c r="D44" s="12">
        <v>0</v>
      </c>
      <c r="E44" s="12">
        <v>0</v>
      </c>
      <c r="F44" s="11">
        <v>145100</v>
      </c>
      <c r="G44" s="11">
        <v>78058</v>
      </c>
      <c r="H44" s="21"/>
      <c r="I44" s="21"/>
      <c r="J44" s="21"/>
      <c r="K44" s="21"/>
      <c r="L44" s="13"/>
      <c r="M44" s="13"/>
    </row>
    <row r="45" spans="1:18" x14ac:dyDescent="0.15">
      <c r="A45" s="7" t="s">
        <v>41</v>
      </c>
      <c r="B45" s="18">
        <v>-6100</v>
      </c>
      <c r="C45" s="18">
        <v>-17200</v>
      </c>
      <c r="D45" s="18">
        <v>-42900</v>
      </c>
      <c r="E45" s="18">
        <v>-52800</v>
      </c>
      <c r="F45" s="18">
        <v>10700</v>
      </c>
      <c r="G45" s="18">
        <v>44231</v>
      </c>
      <c r="H45" s="21"/>
      <c r="I45" s="21"/>
      <c r="J45" s="21"/>
      <c r="K45" s="21"/>
      <c r="L45" s="65"/>
      <c r="M45" s="65"/>
      <c r="N45" s="66"/>
      <c r="O45" s="66"/>
      <c r="P45" s="66"/>
    </row>
    <row r="46" spans="1:18" x14ac:dyDescent="0.15">
      <c r="A46" s="45" t="s">
        <v>237</v>
      </c>
      <c r="B46" s="22">
        <f>B25-B32+B35-B36+B37+B41+B45+B39</f>
        <v>-17400</v>
      </c>
      <c r="C46" s="22">
        <f>C25-C32+C35-C36+C37+C41+C45</f>
        <v>-203100</v>
      </c>
      <c r="D46" s="22">
        <f>D25-D32+D35-D36+D37+D41+D45-D34</f>
        <v>-308100</v>
      </c>
      <c r="E46" s="22">
        <f>E25-E32+E35+E37+E38-E42+E45</f>
        <v>148700</v>
      </c>
      <c r="F46" s="22">
        <f>F25-F32+F35+F37+F40+F45</f>
        <v>-134400</v>
      </c>
      <c r="G46" s="22">
        <f>G25-G32+G35-G36+G37+G41+G45</f>
        <v>-33827</v>
      </c>
      <c r="H46" s="21"/>
      <c r="I46" s="80">
        <f>AVERAGE(L46:P46)</f>
        <v>-0.5367178656662841</v>
      </c>
      <c r="J46" s="81">
        <f>STDEV(L46:P46)</f>
        <v>2.357186354096044</v>
      </c>
      <c r="K46" s="21"/>
      <c r="L46" s="13">
        <f>(B46-C46)/-C46</f>
        <v>0.91432791728212703</v>
      </c>
      <c r="M46" s="13">
        <f>(C46-D46)/-D46</f>
        <v>0.34079844206426485</v>
      </c>
      <c r="N46" s="13">
        <f>(D46-E46)/E46</f>
        <v>-3.0719569603227974</v>
      </c>
      <c r="O46" s="13">
        <f>(E46-F46)/-F46</f>
        <v>2.1063988095238093</v>
      </c>
      <c r="P46" s="13">
        <f>(F46-G46)/-G46</f>
        <v>-2.9731575368788246</v>
      </c>
      <c r="Q46" s="59"/>
      <c r="R46" s="37"/>
    </row>
    <row r="47" spans="1:18" ht="14" thickBot="1" x14ac:dyDescent="0.2">
      <c r="A47" s="7"/>
      <c r="D47" s="22"/>
      <c r="E47" s="22"/>
      <c r="F47" s="22"/>
      <c r="G47" s="22"/>
      <c r="H47" s="21"/>
      <c r="I47" s="21"/>
      <c r="J47" s="21"/>
      <c r="K47" s="21"/>
    </row>
    <row r="48" spans="1:18" x14ac:dyDescent="0.15">
      <c r="A48" s="7" t="s">
        <v>42</v>
      </c>
      <c r="B48" s="274">
        <v>-246300</v>
      </c>
      <c r="C48" s="23">
        <v>-453300</v>
      </c>
      <c r="D48" s="24">
        <v>-505700</v>
      </c>
      <c r="E48" s="24">
        <v>-824100</v>
      </c>
      <c r="F48" s="24">
        <v>-409200</v>
      </c>
      <c r="G48" s="25">
        <v>-244178</v>
      </c>
      <c r="H48" s="7"/>
      <c r="I48" s="80">
        <f>AVERAGE(L48:P48)</f>
        <v>-0.14862508412736281</v>
      </c>
      <c r="J48" s="81">
        <f>STDEV(L48:P48)</f>
        <v>0.6600927528906223</v>
      </c>
      <c r="K48" s="7"/>
      <c r="L48" s="67">
        <f>(B48-C48)/-C48</f>
        <v>0.45665122435473199</v>
      </c>
      <c r="M48" s="67">
        <f>(C48-D48)/-D48</f>
        <v>0.10361874629226814</v>
      </c>
      <c r="N48" s="68">
        <f>(D48-E48)/-E48</f>
        <v>0.38636087853415846</v>
      </c>
      <c r="O48" s="68">
        <f>(E48-F48)/-F48</f>
        <v>-1.0139296187683284</v>
      </c>
      <c r="P48" s="69">
        <f>(F48-G48)/-G48</f>
        <v>-0.67582665104964412</v>
      </c>
    </row>
    <row r="49" spans="1:17" ht="14" thickBot="1" x14ac:dyDescent="0.2">
      <c r="A49" s="7" t="s">
        <v>43</v>
      </c>
      <c r="B49" s="275">
        <v>228900</v>
      </c>
      <c r="C49" s="26">
        <v>250200</v>
      </c>
      <c r="D49" s="27">
        <v>197600</v>
      </c>
      <c r="E49" s="27">
        <v>972800</v>
      </c>
      <c r="F49" s="27">
        <v>274800</v>
      </c>
      <c r="G49" s="28">
        <v>210351</v>
      </c>
      <c r="H49" s="7"/>
      <c r="I49" s="80">
        <f>AVERAGE(L49:P49)</f>
        <v>0.44612088882001355</v>
      </c>
      <c r="J49" s="81">
        <f>STDEV(L49:P49)</f>
        <v>1.2513611411564514</v>
      </c>
      <c r="K49" s="7"/>
      <c r="L49" s="70">
        <f>(B49-C49)/C49</f>
        <v>-8.5131894484412468E-2</v>
      </c>
      <c r="M49" s="70">
        <f>(C49-D49)/D49</f>
        <v>0.26619433198380565</v>
      </c>
      <c r="N49" s="71">
        <f>(D49-E49)/E49</f>
        <v>-0.796875</v>
      </c>
      <c r="O49" s="71">
        <f>(E49-F49)/F49</f>
        <v>2.5400291120815139</v>
      </c>
      <c r="P49" s="72">
        <f>(F49-G49)/G49</f>
        <v>0.30638789451916082</v>
      </c>
      <c r="Q49" s="13"/>
    </row>
    <row r="50" spans="1:17" ht="14" thickBot="1" x14ac:dyDescent="0.2">
      <c r="A50" s="7" t="s">
        <v>44</v>
      </c>
      <c r="B50" s="276">
        <v>-17400</v>
      </c>
      <c r="C50" s="26">
        <v>-203100</v>
      </c>
      <c r="D50" s="27">
        <v>-308100</v>
      </c>
      <c r="E50" s="27">
        <v>148700</v>
      </c>
      <c r="F50" s="27">
        <v>-134400</v>
      </c>
      <c r="G50" s="28">
        <v>-33827</v>
      </c>
      <c r="H50" s="7"/>
      <c r="I50" s="77"/>
      <c r="J50" s="279"/>
      <c r="K50" s="7"/>
      <c r="L50" s="73">
        <f>L46</f>
        <v>0.91432791728212703</v>
      </c>
      <c r="M50" s="73">
        <f>M46</f>
        <v>0.34079844206426485</v>
      </c>
      <c r="N50" s="74">
        <f>N46</f>
        <v>-3.0719569603227974</v>
      </c>
      <c r="O50" s="74">
        <f>O46</f>
        <v>2.1063988095238093</v>
      </c>
      <c r="P50" s="75">
        <f>P46</f>
        <v>-2.9731575368788246</v>
      </c>
    </row>
    <row r="51" spans="1:17" x14ac:dyDescent="0.15">
      <c r="A51" s="7"/>
      <c r="C51" s="11"/>
      <c r="D51" s="11"/>
      <c r="E51" s="11"/>
      <c r="F51" s="11"/>
      <c r="G51" s="11"/>
      <c r="H51" s="7"/>
      <c r="I51" s="7"/>
      <c r="J51" s="7"/>
      <c r="K51" s="7"/>
      <c r="L51" s="13"/>
      <c r="M51" s="13"/>
      <c r="N51" s="13"/>
      <c r="O51" s="13"/>
      <c r="P51" s="13"/>
      <c r="Q51" s="13"/>
    </row>
    <row r="52" spans="1:17" x14ac:dyDescent="0.15">
      <c r="A52" s="7" t="s">
        <v>45</v>
      </c>
      <c r="B52" s="11">
        <v>5000</v>
      </c>
      <c r="C52" s="11">
        <v>-600</v>
      </c>
      <c r="D52" s="11">
        <v>9100</v>
      </c>
      <c r="E52" s="11">
        <v>-17600</v>
      </c>
      <c r="F52" s="11">
        <v>7800</v>
      </c>
      <c r="G52" s="11">
        <v>6217</v>
      </c>
      <c r="H52" s="7"/>
      <c r="I52" s="7"/>
      <c r="J52" s="7"/>
      <c r="K52" s="7"/>
      <c r="L52" s="13"/>
      <c r="M52" s="13"/>
      <c r="N52" s="13"/>
      <c r="O52" s="13"/>
      <c r="P52" s="13"/>
      <c r="Q52" s="13"/>
    </row>
    <row r="53" spans="1:17" x14ac:dyDescent="0.15">
      <c r="A53" s="7" t="s">
        <v>46</v>
      </c>
      <c r="B53" s="11">
        <v>2900</v>
      </c>
      <c r="C53" s="11">
        <v>3000</v>
      </c>
      <c r="D53" s="11">
        <v>-700</v>
      </c>
      <c r="E53" s="11">
        <v>-4300</v>
      </c>
      <c r="F53" s="11">
        <v>2200</v>
      </c>
      <c r="G53" s="11">
        <v>2480</v>
      </c>
      <c r="H53" s="7"/>
      <c r="I53" s="7"/>
      <c r="J53" s="7"/>
      <c r="K53" s="7"/>
      <c r="L53" s="13"/>
      <c r="M53" s="13"/>
      <c r="N53" s="13"/>
      <c r="O53" s="13"/>
      <c r="P53" s="13"/>
      <c r="Q53" s="13"/>
    </row>
    <row r="54" spans="1:17" x14ac:dyDescent="0.15">
      <c r="A54" s="7" t="s">
        <v>47</v>
      </c>
      <c r="B54" s="11">
        <v>5800</v>
      </c>
      <c r="C54" s="11">
        <v>1800</v>
      </c>
      <c r="D54" s="11">
        <v>6700</v>
      </c>
      <c r="E54" s="11">
        <v>2000</v>
      </c>
      <c r="F54" s="11">
        <v>4500</v>
      </c>
      <c r="G54" s="11">
        <v>-155</v>
      </c>
      <c r="H54" s="7"/>
      <c r="I54" s="7"/>
      <c r="J54" s="7"/>
      <c r="K54" s="7"/>
      <c r="L54" s="13"/>
      <c r="M54" s="13"/>
      <c r="N54" s="13"/>
      <c r="O54" s="13"/>
      <c r="P54" s="13"/>
      <c r="Q54" s="13"/>
    </row>
    <row r="55" spans="1:17" x14ac:dyDescent="0.15">
      <c r="A55" s="7" t="s">
        <v>48</v>
      </c>
      <c r="B55" s="11">
        <v>13700</v>
      </c>
      <c r="C55" s="11">
        <v>4200</v>
      </c>
      <c r="D55" s="11">
        <v>15100</v>
      </c>
      <c r="E55" s="11">
        <v>-19900</v>
      </c>
      <c r="F55" s="11">
        <v>14500</v>
      </c>
      <c r="G55" s="11">
        <v>8542</v>
      </c>
      <c r="H55" s="7"/>
      <c r="I55" s="7"/>
      <c r="J55" s="7"/>
      <c r="K55" s="7"/>
      <c r="L55" s="13"/>
      <c r="M55" s="13"/>
      <c r="N55" s="13"/>
      <c r="O55" s="13"/>
      <c r="P55" s="13"/>
      <c r="Q55" s="13"/>
    </row>
    <row r="56" spans="1:17" x14ac:dyDescent="0.15">
      <c r="A56" s="7" t="s">
        <v>49</v>
      </c>
      <c r="B56" s="11">
        <v>1100</v>
      </c>
      <c r="C56" s="11">
        <v>-18500</v>
      </c>
      <c r="D56" s="11">
        <v>-48200</v>
      </c>
      <c r="E56" s="11">
        <v>-269000</v>
      </c>
      <c r="F56" s="11">
        <v>-143300</v>
      </c>
      <c r="G56" s="11">
        <v>-77399</v>
      </c>
      <c r="H56" s="7"/>
      <c r="I56" s="7"/>
      <c r="J56" s="7"/>
      <c r="K56" s="7"/>
      <c r="L56" s="13"/>
      <c r="M56" s="13"/>
      <c r="N56" s="13"/>
      <c r="O56" s="13"/>
      <c r="P56" s="13"/>
      <c r="Q56" s="13"/>
    </row>
    <row r="57" spans="1:17" x14ac:dyDescent="0.15">
      <c r="A57" s="7" t="s">
        <v>50</v>
      </c>
      <c r="B57" s="11">
        <v>2300</v>
      </c>
      <c r="C57" s="11">
        <v>-1800</v>
      </c>
      <c r="D57" s="11">
        <v>5800</v>
      </c>
      <c r="E57" s="11">
        <v>-18500</v>
      </c>
      <c r="F57" s="11">
        <v>-9900</v>
      </c>
      <c r="G57" s="11">
        <v>-7632</v>
      </c>
      <c r="H57" s="7"/>
      <c r="I57" s="7"/>
      <c r="J57" s="7"/>
      <c r="K57" s="7"/>
      <c r="L57" s="13"/>
      <c r="M57" s="13"/>
      <c r="N57" s="13"/>
      <c r="O57" s="13"/>
      <c r="P57" s="13"/>
      <c r="Q57" s="13"/>
    </row>
    <row r="58" spans="1:17" x14ac:dyDescent="0.15">
      <c r="A58" s="7" t="s">
        <v>51</v>
      </c>
      <c r="B58" s="12" t="s">
        <v>24</v>
      </c>
      <c r="C58" s="11">
        <v>19400</v>
      </c>
      <c r="D58" s="11">
        <v>18800</v>
      </c>
      <c r="E58" s="11">
        <v>-12000</v>
      </c>
      <c r="F58" s="11">
        <v>-10200</v>
      </c>
      <c r="G58" s="11">
        <v>-38</v>
      </c>
      <c r="H58" s="7"/>
      <c r="I58" s="7"/>
      <c r="J58" s="7"/>
      <c r="K58" s="7"/>
      <c r="L58" s="13"/>
      <c r="M58" s="13"/>
      <c r="N58" s="13"/>
      <c r="O58" s="13"/>
      <c r="P58" s="13"/>
      <c r="Q58" s="13"/>
    </row>
    <row r="59" spans="1:17" x14ac:dyDescent="0.15">
      <c r="A59" s="7" t="s">
        <v>52</v>
      </c>
      <c r="B59" s="18">
        <v>3400</v>
      </c>
      <c r="C59" s="18">
        <v>-900</v>
      </c>
      <c r="D59" s="18">
        <v>-23600</v>
      </c>
      <c r="E59" s="18">
        <v>-299500</v>
      </c>
      <c r="F59" s="18">
        <v>-163400</v>
      </c>
      <c r="G59" s="18">
        <v>-85069</v>
      </c>
      <c r="H59" s="7"/>
      <c r="I59" s="7"/>
      <c r="J59" s="7"/>
      <c r="K59" s="7"/>
      <c r="L59" s="13"/>
      <c r="M59" s="13"/>
      <c r="N59" s="13"/>
      <c r="O59" s="13"/>
      <c r="P59" s="13"/>
      <c r="Q59" s="13"/>
    </row>
    <row r="60" spans="1:17" x14ac:dyDescent="0.15">
      <c r="A60" s="7" t="s">
        <v>53</v>
      </c>
      <c r="B60" s="11">
        <v>17100</v>
      </c>
      <c r="C60" s="11">
        <v>3300</v>
      </c>
      <c r="D60" s="11">
        <v>-8500</v>
      </c>
      <c r="E60" s="11">
        <v>-319400</v>
      </c>
      <c r="F60" s="11">
        <v>-148900</v>
      </c>
      <c r="G60" s="11">
        <v>-76527</v>
      </c>
      <c r="H60" s="7"/>
      <c r="I60" s="80">
        <f>AVERAGE(L60:P60)</f>
        <v>-0.78219551834723899</v>
      </c>
      <c r="J60" s="81">
        <f>STDEV(L60:P60)</f>
        <v>2.2084321030426541</v>
      </c>
      <c r="K60" s="7"/>
      <c r="L60" s="13">
        <f>(B60-C60)/-C60</f>
        <v>-4.1818181818181817</v>
      </c>
      <c r="M60" s="13">
        <f>(C60-D60)/-D60</f>
        <v>1.388235294117647</v>
      </c>
      <c r="N60" s="13">
        <f>(D60-E60)/-E60</f>
        <v>0.97338760175328742</v>
      </c>
      <c r="O60" s="13">
        <f>(E60-F60)/-F60</f>
        <v>-1.145063801208865</v>
      </c>
      <c r="P60" s="13">
        <f>(F60-G60)/-G60</f>
        <v>-0.94571850458008289</v>
      </c>
      <c r="Q60" s="13"/>
    </row>
    <row r="61" spans="1:17" x14ac:dyDescent="0.15">
      <c r="A61" s="7"/>
      <c r="B61" s="37"/>
      <c r="C61" s="11"/>
      <c r="D61" s="11"/>
      <c r="E61" s="11"/>
      <c r="F61" s="11"/>
      <c r="G61" s="11"/>
      <c r="H61" s="7"/>
      <c r="I61" s="7"/>
      <c r="J61" s="7"/>
      <c r="K61" s="7"/>
      <c r="L61" s="13"/>
      <c r="M61" s="13"/>
      <c r="N61" s="13"/>
      <c r="O61" s="13"/>
      <c r="P61" s="13"/>
      <c r="Q61" s="13"/>
    </row>
    <row r="62" spans="1:17" x14ac:dyDescent="0.15">
      <c r="A62" s="7" t="s">
        <v>54</v>
      </c>
      <c r="B62" s="11">
        <v>-34500</v>
      </c>
      <c r="C62" s="11">
        <v>-206400</v>
      </c>
      <c r="D62" s="11">
        <v>-299600</v>
      </c>
      <c r="E62" s="11">
        <v>468100</v>
      </c>
      <c r="F62" s="11">
        <v>14500</v>
      </c>
      <c r="G62" s="11">
        <v>42700</v>
      </c>
      <c r="H62" s="7"/>
      <c r="I62" s="80">
        <f>AVERAGE(L62:P62)</f>
        <v>6.0252466346846925</v>
      </c>
      <c r="J62" s="81">
        <f>STDEV(L62:P62)</f>
        <v>14.151053666225113</v>
      </c>
      <c r="K62" s="7"/>
      <c r="L62" s="13">
        <f>(B62-C62)/-C62</f>
        <v>0.83284883720930236</v>
      </c>
      <c r="M62" s="13">
        <f>(C62-D62)/-D62</f>
        <v>0.31108144192256343</v>
      </c>
      <c r="N62" s="13">
        <f>(D62-E62)/E62</f>
        <v>-1.6400341807306131</v>
      </c>
      <c r="O62" s="13">
        <f>(E62-F62)/F62</f>
        <v>31.282758620689656</v>
      </c>
      <c r="P62" s="13">
        <f>(F62-G62)/G62</f>
        <v>-0.66042154566744726</v>
      </c>
      <c r="Q62" s="13"/>
    </row>
    <row r="63" spans="1:17" x14ac:dyDescent="0.15">
      <c r="A63" s="7" t="s">
        <v>55</v>
      </c>
      <c r="B63" s="11">
        <v>15600</v>
      </c>
      <c r="C63" s="11">
        <v>18000</v>
      </c>
      <c r="D63" s="11">
        <v>15400</v>
      </c>
      <c r="E63" s="11">
        <v>5500</v>
      </c>
      <c r="F63" s="11">
        <v>300</v>
      </c>
      <c r="G63" s="11">
        <v>7509</v>
      </c>
      <c r="H63" s="7"/>
      <c r="I63" s="7"/>
      <c r="J63" s="7"/>
      <c r="K63" s="7"/>
      <c r="L63" s="13"/>
      <c r="M63" s="13"/>
    </row>
    <row r="64" spans="1:17" x14ac:dyDescent="0.15">
      <c r="A64" s="7" t="s">
        <v>56</v>
      </c>
      <c r="B64" s="11">
        <v>-18900</v>
      </c>
      <c r="C64" s="11">
        <v>-188400</v>
      </c>
      <c r="D64" s="11">
        <v>-284200</v>
      </c>
      <c r="E64" s="11">
        <v>473600</v>
      </c>
      <c r="F64" s="11">
        <v>14800</v>
      </c>
      <c r="G64" s="11">
        <v>50209</v>
      </c>
      <c r="H64" s="7"/>
      <c r="I64" s="81">
        <f>AVERAGE(L64:P64)</f>
        <v>5.9862902996533069</v>
      </c>
      <c r="J64" s="81">
        <f>STDEV(L64:P64)</f>
        <v>14.016082896771296</v>
      </c>
      <c r="K64" s="7"/>
      <c r="L64" s="13">
        <f>(B64-C64)/-C64</f>
        <v>0.89968152866242035</v>
      </c>
      <c r="M64" s="13">
        <f>(C64-D64)/-D64</f>
        <v>0.33708655876143562</v>
      </c>
      <c r="N64" s="13">
        <f>(D64-E64)/E64</f>
        <v>-1.6000844594594594</v>
      </c>
      <c r="O64" s="13">
        <f>(E64-F64)/F64</f>
        <v>31</v>
      </c>
      <c r="P64" s="13">
        <f>(F64-G64)/G64</f>
        <v>-0.70523212969786297</v>
      </c>
    </row>
    <row r="65" spans="1:12" x14ac:dyDescent="0.15">
      <c r="A65" s="7"/>
      <c r="B65" s="21"/>
      <c r="C65" s="8"/>
      <c r="D65" s="8"/>
      <c r="E65" s="8"/>
      <c r="F65" s="8"/>
      <c r="G65" s="8"/>
      <c r="H65" s="7"/>
      <c r="I65" s="77"/>
      <c r="J65" s="7"/>
      <c r="K65" s="7"/>
      <c r="L65" s="7"/>
    </row>
    <row r="66" spans="1:12" x14ac:dyDescent="0.15">
      <c r="A66" s="7" t="s">
        <v>57</v>
      </c>
      <c r="B66" s="277">
        <v>220500</v>
      </c>
      <c r="C66" s="36">
        <v>217900</v>
      </c>
      <c r="D66" s="36">
        <v>213700</v>
      </c>
      <c r="E66" s="36">
        <v>208400</v>
      </c>
      <c r="F66" s="36">
        <v>165000</v>
      </c>
      <c r="G66" s="36">
        <v>148480</v>
      </c>
      <c r="H66" s="7"/>
      <c r="I66" s="7"/>
      <c r="J66" s="7"/>
      <c r="K66" s="7"/>
      <c r="L66" s="7"/>
    </row>
    <row r="67" spans="1:12" x14ac:dyDescent="0.15">
      <c r="A67" s="7" t="s">
        <v>58</v>
      </c>
      <c r="B67" s="277">
        <v>220500</v>
      </c>
      <c r="C67" s="36">
        <v>217900</v>
      </c>
      <c r="D67" s="36">
        <v>213700</v>
      </c>
      <c r="E67" s="36">
        <v>220400</v>
      </c>
      <c r="F67" s="36">
        <v>172200</v>
      </c>
      <c r="G67" s="36">
        <v>154088</v>
      </c>
      <c r="H67" s="7"/>
      <c r="I67" s="7"/>
      <c r="J67" s="7"/>
      <c r="K67" s="7"/>
      <c r="L67" s="7"/>
    </row>
    <row r="68" spans="1:12" x14ac:dyDescent="0.15">
      <c r="A68" s="7" t="s">
        <v>59</v>
      </c>
      <c r="B68" s="277">
        <v>221200</v>
      </c>
      <c r="C68" s="36">
        <v>219400</v>
      </c>
      <c r="D68" s="36">
        <v>216000</v>
      </c>
      <c r="E68" s="36">
        <v>211100</v>
      </c>
      <c r="F68" s="36">
        <v>207500</v>
      </c>
      <c r="G68" s="36">
        <v>146785.94</v>
      </c>
      <c r="H68" s="7"/>
      <c r="I68" s="7"/>
      <c r="J68" s="7"/>
      <c r="K68" s="7"/>
      <c r="L68" s="7"/>
    </row>
    <row r="69" spans="1:12" x14ac:dyDescent="0.15">
      <c r="A69" s="7" t="s">
        <v>60</v>
      </c>
      <c r="B69" s="277">
        <v>-0.09</v>
      </c>
      <c r="C69" s="10">
        <v>-0.86</v>
      </c>
      <c r="D69" s="10">
        <v>-1.33</v>
      </c>
      <c r="E69" s="10">
        <v>2.27</v>
      </c>
      <c r="F69" s="10">
        <v>0.09</v>
      </c>
      <c r="G69" s="10">
        <v>0.34</v>
      </c>
      <c r="H69" s="7"/>
      <c r="I69" s="7"/>
      <c r="J69" s="7"/>
      <c r="K69" s="7"/>
      <c r="L69" s="7"/>
    </row>
    <row r="70" spans="1:12" x14ac:dyDescent="0.15">
      <c r="A70" s="7" t="s">
        <v>61</v>
      </c>
      <c r="B70" s="277">
        <v>-0.09</v>
      </c>
      <c r="C70" s="10">
        <v>-0.86</v>
      </c>
      <c r="D70" s="10">
        <v>-1.33</v>
      </c>
      <c r="E70" s="10">
        <v>2.15</v>
      </c>
      <c r="F70" s="10">
        <v>0.09</v>
      </c>
      <c r="G70" s="10">
        <v>0.33</v>
      </c>
      <c r="H70" s="7"/>
      <c r="I70" s="7"/>
      <c r="J70" s="7"/>
      <c r="K70" s="7"/>
      <c r="L70" s="7"/>
    </row>
    <row r="71" spans="1:12" x14ac:dyDescent="0.15">
      <c r="A71" s="7" t="s">
        <v>62</v>
      </c>
      <c r="B71" s="278" t="s">
        <v>24</v>
      </c>
      <c r="C71" s="9" t="s">
        <v>24</v>
      </c>
      <c r="D71" s="10">
        <v>0.18</v>
      </c>
      <c r="E71" s="10">
        <v>0.09</v>
      </c>
      <c r="F71" s="10">
        <v>0.09</v>
      </c>
      <c r="G71" s="10">
        <v>0.34</v>
      </c>
      <c r="H71" s="7"/>
      <c r="I71" s="7"/>
      <c r="J71" s="7"/>
      <c r="K71" s="7"/>
      <c r="L71" s="7"/>
    </row>
    <row r="72" spans="1:12" x14ac:dyDescent="0.15">
      <c r="A72" s="7" t="s">
        <v>63</v>
      </c>
      <c r="B72" s="277">
        <v>1466</v>
      </c>
      <c r="C72" s="8">
        <v>1443</v>
      </c>
      <c r="D72" s="8">
        <v>1415</v>
      </c>
      <c r="E72" s="8">
        <v>1686</v>
      </c>
      <c r="F72" s="8">
        <v>1427</v>
      </c>
      <c r="G72" s="8">
        <v>795</v>
      </c>
      <c r="H72" s="7"/>
      <c r="I72" s="7"/>
      <c r="J72" s="7"/>
      <c r="K72" s="7"/>
      <c r="L72" s="7"/>
    </row>
    <row r="73" spans="1:12" x14ac:dyDescent="0.15">
      <c r="A73" s="7" t="s">
        <v>64</v>
      </c>
      <c r="B73" s="277">
        <v>526</v>
      </c>
      <c r="C73" s="8">
        <v>525</v>
      </c>
      <c r="D73" s="8">
        <v>529</v>
      </c>
      <c r="E73" s="8">
        <v>539</v>
      </c>
      <c r="F73" s="8">
        <v>584</v>
      </c>
      <c r="G73" s="9" t="s">
        <v>24</v>
      </c>
      <c r="H73" s="7"/>
      <c r="I73" s="7"/>
      <c r="J73" s="7"/>
      <c r="K73" s="7"/>
      <c r="L73" s="7"/>
    </row>
    <row r="74" spans="1:12" x14ac:dyDescent="0.15">
      <c r="A74" s="7" t="s">
        <v>65</v>
      </c>
      <c r="B74" s="277">
        <v>707</v>
      </c>
      <c r="C74" s="8">
        <v>713</v>
      </c>
      <c r="D74" s="8">
        <v>708</v>
      </c>
      <c r="E74" s="8">
        <v>701</v>
      </c>
      <c r="F74" s="8">
        <v>729</v>
      </c>
      <c r="G74" s="9" t="s">
        <v>24</v>
      </c>
      <c r="H74" s="7"/>
      <c r="I74" s="7"/>
      <c r="J74" s="7"/>
      <c r="K74" s="7"/>
      <c r="L74" s="7"/>
    </row>
    <row r="75" spans="1:12" x14ac:dyDescent="0.15">
      <c r="A75" s="7" t="s">
        <v>66</v>
      </c>
      <c r="B75" s="9" t="s">
        <v>24</v>
      </c>
      <c r="C75" s="9" t="s">
        <v>24</v>
      </c>
      <c r="D75" s="9" t="s">
        <v>24</v>
      </c>
      <c r="E75" s="9" t="s">
        <v>24</v>
      </c>
      <c r="F75" s="9" t="s">
        <v>24</v>
      </c>
      <c r="G75" s="8">
        <v>582</v>
      </c>
      <c r="H75" s="7"/>
      <c r="I75" s="7"/>
      <c r="J75" s="7"/>
      <c r="K75" s="7"/>
      <c r="L75" s="7"/>
    </row>
    <row r="76" spans="1:12" x14ac:dyDescent="0.15">
      <c r="A76" s="7" t="s">
        <v>67</v>
      </c>
      <c r="B76" s="9" t="s">
        <v>24</v>
      </c>
      <c r="C76" s="9" t="s">
        <v>24</v>
      </c>
      <c r="D76" s="9" t="s">
        <v>24</v>
      </c>
      <c r="E76" s="9" t="s">
        <v>24</v>
      </c>
      <c r="F76" s="8">
        <v>1313</v>
      </c>
      <c r="G76" s="9" t="s">
        <v>24</v>
      </c>
      <c r="H76" s="7"/>
      <c r="I76" s="7"/>
      <c r="J76" s="7"/>
      <c r="K76" s="7"/>
      <c r="L76" s="7"/>
    </row>
    <row r="77" spans="1:12" x14ac:dyDescent="0.15">
      <c r="A77" s="7" t="s">
        <v>68</v>
      </c>
      <c r="B77" s="277">
        <v>3700</v>
      </c>
      <c r="C77" s="8">
        <v>-600</v>
      </c>
      <c r="D77" s="8">
        <v>-5800</v>
      </c>
      <c r="E77" s="8">
        <v>7000</v>
      </c>
      <c r="F77" s="8">
        <v>-8100</v>
      </c>
      <c r="G77" s="8">
        <v>-3056</v>
      </c>
      <c r="H77" s="7"/>
      <c r="I77" s="7"/>
      <c r="J77" s="7"/>
      <c r="K77" s="7"/>
      <c r="L77" s="7"/>
    </row>
    <row r="85" spans="1:7" x14ac:dyDescent="0.15">
      <c r="A85" s="13"/>
      <c r="B85" s="13"/>
      <c r="C85" s="13"/>
      <c r="D85" s="13"/>
      <c r="E85" s="13"/>
    </row>
    <row r="86" spans="1:7" hidden="1" x14ac:dyDescent="0.15">
      <c r="A86" s="22"/>
      <c r="B86" s="22"/>
      <c r="C86">
        <v>2020</v>
      </c>
      <c r="D86" s="56">
        <v>2019</v>
      </c>
      <c r="E86" s="56">
        <v>2018</v>
      </c>
      <c r="F86" s="56">
        <v>2017</v>
      </c>
      <c r="G86" s="56">
        <v>2016</v>
      </c>
    </row>
    <row r="87" spans="1:7" hidden="1" x14ac:dyDescent="0.15">
      <c r="A87" s="55" t="s">
        <v>238</v>
      </c>
      <c r="B87" s="22">
        <f t="shared" ref="B87:G87" si="4">B46+B32</f>
        <v>164100</v>
      </c>
      <c r="C87" s="22">
        <f t="shared" si="4"/>
        <v>-11800</v>
      </c>
      <c r="D87" s="22">
        <f t="shared" si="4"/>
        <v>-109200</v>
      </c>
      <c r="E87" s="22">
        <f t="shared" si="4"/>
        <v>342400</v>
      </c>
      <c r="F87" s="22">
        <f t="shared" si="4"/>
        <v>-19200</v>
      </c>
      <c r="G87" s="22">
        <f t="shared" si="4"/>
        <v>21052</v>
      </c>
    </row>
    <row r="88" spans="1:7" hidden="1" x14ac:dyDescent="0.15">
      <c r="A88" s="13"/>
      <c r="B88" s="13">
        <f t="shared" ref="B88:G88" si="5">B87/B16</f>
        <v>5.016047684548372E-2</v>
      </c>
      <c r="C88" s="13">
        <f t="shared" si="5"/>
        <v>-3.0334190231362467E-3</v>
      </c>
      <c r="D88" s="13">
        <f t="shared" si="5"/>
        <v>-2.9669881809536749E-2</v>
      </c>
      <c r="E88" s="13">
        <f t="shared" si="5"/>
        <v>8.292363953403889E-2</v>
      </c>
      <c r="F88" s="13">
        <f t="shared" si="5"/>
        <v>-5.9971888177416839E-3</v>
      </c>
      <c r="G88" s="13">
        <f t="shared" si="5"/>
        <v>8.9681475697351003E-3</v>
      </c>
    </row>
  </sheetData>
  <sheetProtection formatCells="0" formatColumns="0" formatRows="0" insertColumns="0" insertRows="0" insertHyperlinks="0" deleteColumns="0" deleteRows="0" sort="0" autoFilter="0" pivotTables="0"/>
  <conditionalFormatting sqref="L16:P16">
    <cfRule type="cellIs" dxfId="36" priority="8" operator="greaterThan">
      <formula>0</formula>
    </cfRule>
  </conditionalFormatting>
  <conditionalFormatting sqref="L16:P16 L25:P25 L46:P46 L48:P50 L62:P62 L64:P64">
    <cfRule type="cellIs" dxfId="35" priority="7" operator="greaterThan">
      <formula>0</formula>
    </cfRule>
  </conditionalFormatting>
  <conditionalFormatting sqref="L16:P16 L25:P25 L35:P35 L37:P37 L46:P46 L48:P50 L62:P62 L64:P64">
    <cfRule type="cellIs" dxfId="34" priority="5" operator="greaterThan">
      <formula>0</formula>
    </cfRule>
    <cfRule type="cellIs" dxfId="33" priority="6" operator="lessThan">
      <formula>0</formula>
    </cfRule>
  </conditionalFormatting>
  <conditionalFormatting sqref="L18:P23">
    <cfRule type="cellIs" dxfId="32" priority="3" operator="lessThan">
      <formula>0</formula>
    </cfRule>
    <cfRule type="cellIs" dxfId="31" priority="4" operator="greaterThan">
      <formula>0</formula>
    </cfRule>
  </conditionalFormatting>
  <conditionalFormatting sqref="L32:P32 L36:P36 L60:P60">
    <cfRule type="cellIs" dxfId="30" priority="1" operator="lessThan">
      <formula>0</formula>
    </cfRule>
    <cfRule type="cellIs" dxfId="29" priority="2" operator="greaterThan">
      <formula>0</formula>
    </cfRule>
  </conditionalFormatting>
  <pageMargins left="0.7" right="0.7" top="0.75" bottom="0.75" header="0.3" footer="0.3"/>
  <pageSetup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EB1F6-61C6-405F-A374-9C6FC7CA5FB7}">
  <dimension ref="A1:W12"/>
  <sheetViews>
    <sheetView workbookViewId="0">
      <selection activeCell="I10" sqref="I10"/>
    </sheetView>
  </sheetViews>
  <sheetFormatPr baseColWidth="10" defaultColWidth="8.83203125" defaultRowHeight="13" x14ac:dyDescent="0.15"/>
  <cols>
    <col min="1" max="1" width="24.1640625" bestFit="1" customWidth="1"/>
    <col min="2" max="7" width="14.1640625" bestFit="1" customWidth="1"/>
    <col min="9" max="9" width="10.5" customWidth="1"/>
  </cols>
  <sheetData>
    <row r="1" spans="1:23" x14ac:dyDescent="0.15">
      <c r="B1" s="35">
        <v>2020</v>
      </c>
      <c r="C1" s="35">
        <v>2019</v>
      </c>
      <c r="D1" s="35">
        <v>2018</v>
      </c>
      <c r="E1" s="35">
        <v>2017</v>
      </c>
      <c r="F1" s="35">
        <v>2016</v>
      </c>
      <c r="G1" s="35">
        <v>2015</v>
      </c>
      <c r="I1" s="34" t="s">
        <v>312</v>
      </c>
      <c r="J1" s="34" t="s">
        <v>967</v>
      </c>
      <c r="K1" s="34" t="s">
        <v>969</v>
      </c>
    </row>
    <row r="2" spans="1:23" x14ac:dyDescent="0.15">
      <c r="A2" s="34" t="s">
        <v>963</v>
      </c>
      <c r="B2" s="37">
        <f>'Inc Statement'!B16</f>
        <v>3271500</v>
      </c>
      <c r="C2" s="37">
        <f>'Inc Statement'!C16</f>
        <v>3890000</v>
      </c>
      <c r="D2" s="37">
        <f>'Inc Statement'!D16</f>
        <v>3680500</v>
      </c>
      <c r="E2" s="37">
        <f>'Inc Statement'!E16</f>
        <v>4129100</v>
      </c>
      <c r="F2" s="37">
        <f>'Inc Statement'!F16</f>
        <v>3201500</v>
      </c>
      <c r="G2" s="37">
        <f>'Inc Statement'!G16</f>
        <v>2347419</v>
      </c>
      <c r="I2" s="13">
        <f>(GEOMEAN(S2:W2))-1</f>
        <v>6.8639595763287042E-2</v>
      </c>
      <c r="J2" s="31">
        <f>AVERAGE(M2:Q2)</f>
        <v>8.8571633111833567E-2</v>
      </c>
      <c r="K2" s="13">
        <f>STDEV(M2:Q2)</f>
        <v>0.23314486975018206</v>
      </c>
      <c r="M2" s="13">
        <f t="shared" ref="M2:Q4" si="0">(B2-C2)/C2</f>
        <v>-0.1589974293059126</v>
      </c>
      <c r="N2" s="13">
        <f t="shared" si="0"/>
        <v>5.6921613911153378E-2</v>
      </c>
      <c r="O2" s="13">
        <f t="shared" si="0"/>
        <v>-0.10864353006708484</v>
      </c>
      <c r="P2" s="13">
        <f t="shared" si="0"/>
        <v>0.28973918475714511</v>
      </c>
      <c r="Q2" s="13">
        <f t="shared" si="0"/>
        <v>0.36383832626386681</v>
      </c>
      <c r="S2" s="10">
        <f t="shared" ref="S2:W4" si="1">(1+M2)</f>
        <v>0.84100257069408735</v>
      </c>
      <c r="T2" s="10">
        <f t="shared" si="1"/>
        <v>1.0569216139111535</v>
      </c>
      <c r="U2" s="10">
        <f t="shared" si="1"/>
        <v>0.89135646993291517</v>
      </c>
      <c r="V2" s="10">
        <f t="shared" si="1"/>
        <v>1.2897391847571451</v>
      </c>
      <c r="W2" s="10">
        <f t="shared" si="1"/>
        <v>1.3638383262638669</v>
      </c>
    </row>
    <row r="3" spans="1:23" x14ac:dyDescent="0.15">
      <c r="A3" s="34" t="s">
        <v>962</v>
      </c>
      <c r="B3" s="224">
        <f>'Inc Statement'!B18</f>
        <v>1725900</v>
      </c>
      <c r="C3" s="224">
        <f>'Inc Statement'!C18</f>
        <v>2226100</v>
      </c>
      <c r="D3" s="224">
        <f>'Inc Statement'!D18</f>
        <v>2028200</v>
      </c>
      <c r="E3" s="224">
        <f>'Inc Statement'!E18</f>
        <v>2309600</v>
      </c>
      <c r="F3" s="224">
        <f>'Inc Statement'!F18</f>
        <v>1903800</v>
      </c>
      <c r="G3" s="224">
        <f>'Inc Statement'!G18</f>
        <v>1415344</v>
      </c>
      <c r="I3" s="60">
        <f>(GEOMEAN(S3:W3))-1</f>
        <v>4.0472782584059175E-2</v>
      </c>
      <c r="J3" s="262">
        <f>AVERAGE(M3:Q3)</f>
        <v>6.1860870004345134E-2</v>
      </c>
      <c r="K3" s="60">
        <f>STDEV(M3:Q3)</f>
        <v>0.23465881699142788</v>
      </c>
      <c r="M3" s="13">
        <f t="shared" si="0"/>
        <v>-0.22469790216072952</v>
      </c>
      <c r="N3" s="13">
        <f t="shared" si="0"/>
        <v>9.7574203727443048E-2</v>
      </c>
      <c r="O3" s="13">
        <f t="shared" si="0"/>
        <v>-0.12183927952892276</v>
      </c>
      <c r="P3" s="13">
        <f t="shared" si="0"/>
        <v>0.21315264208425255</v>
      </c>
      <c r="Q3" s="13">
        <f t="shared" si="0"/>
        <v>0.34511468589968236</v>
      </c>
      <c r="S3" s="10">
        <f t="shared" si="1"/>
        <v>0.77530209783927051</v>
      </c>
      <c r="T3" s="10">
        <f t="shared" si="1"/>
        <v>1.097574203727443</v>
      </c>
      <c r="U3" s="10">
        <f t="shared" si="1"/>
        <v>0.87816072047107729</v>
      </c>
      <c r="V3" s="10">
        <f t="shared" si="1"/>
        <v>1.2131526420842524</v>
      </c>
      <c r="W3" s="10">
        <f t="shared" si="1"/>
        <v>1.3451146858996823</v>
      </c>
    </row>
    <row r="4" spans="1:23" x14ac:dyDescent="0.15">
      <c r="A4" s="34" t="s">
        <v>964</v>
      </c>
      <c r="B4" s="37">
        <f t="shared" ref="B4:G4" si="2">B2-B3</f>
        <v>1545600</v>
      </c>
      <c r="C4" s="37">
        <f t="shared" si="2"/>
        <v>1663900</v>
      </c>
      <c r="D4" s="37">
        <f t="shared" si="2"/>
        <v>1652300</v>
      </c>
      <c r="E4" s="37">
        <f t="shared" si="2"/>
        <v>1819500</v>
      </c>
      <c r="F4" s="37">
        <f t="shared" si="2"/>
        <v>1297700</v>
      </c>
      <c r="G4" s="37">
        <f t="shared" si="2"/>
        <v>932075</v>
      </c>
      <c r="I4" s="13">
        <f>(GEOMEAN(S4:W4))-1</f>
        <v>0.10644352067181995</v>
      </c>
      <c r="J4" s="31">
        <f>AVERAGE(M4:Q4)</f>
        <v>0.12767901364475234</v>
      </c>
      <c r="K4" s="13">
        <f>STDEV(M4:Q4)</f>
        <v>0.24879502856232757</v>
      </c>
      <c r="M4" s="13">
        <f t="shared" si="0"/>
        <v>-7.1098022717711401E-2</v>
      </c>
      <c r="N4" s="13">
        <f t="shared" si="0"/>
        <v>7.0205168552926224E-3</v>
      </c>
      <c r="O4" s="13">
        <f t="shared" si="0"/>
        <v>-9.1893377301456441E-2</v>
      </c>
      <c r="P4" s="13">
        <f t="shared" si="0"/>
        <v>0.40209601602835787</v>
      </c>
      <c r="Q4" s="13">
        <f t="shared" si="0"/>
        <v>0.39226993535927901</v>
      </c>
      <c r="S4" s="10">
        <f t="shared" si="1"/>
        <v>0.92890197728228863</v>
      </c>
      <c r="T4" s="10">
        <f t="shared" si="1"/>
        <v>1.0070205168552926</v>
      </c>
      <c r="U4" s="10">
        <f t="shared" si="1"/>
        <v>0.90810662269854359</v>
      </c>
      <c r="V4" s="10">
        <f t="shared" si="1"/>
        <v>1.402096016028358</v>
      </c>
      <c r="W4" s="10">
        <f t="shared" si="1"/>
        <v>1.3922699353592791</v>
      </c>
    </row>
    <row r="6" spans="1:23" x14ac:dyDescent="0.15">
      <c r="A6" s="34" t="s">
        <v>965</v>
      </c>
      <c r="B6" s="37">
        <f>Ratios!B126</f>
        <v>1189800</v>
      </c>
      <c r="C6" s="37">
        <f>Ratios!C126</f>
        <v>1706700</v>
      </c>
      <c r="D6" s="37">
        <f>Ratios!D126</f>
        <v>1516500</v>
      </c>
      <c r="E6" s="37">
        <f>Ratios!E126</f>
        <v>1641700</v>
      </c>
      <c r="F6" s="37">
        <f>Ratios!F126</f>
        <v>1414000</v>
      </c>
      <c r="G6" s="37">
        <f>Ratios!G126</f>
        <v>1029077</v>
      </c>
      <c r="I6" s="13">
        <f>(GEOMEAN(S6:W6))-1</f>
        <v>2.9449906646250135E-2</v>
      </c>
      <c r="J6" s="31">
        <f>AVERAGE(M6:Q6)</f>
        <v>5.6274431678494163E-2</v>
      </c>
      <c r="K6" s="13">
        <f>STDEV(M6:Q6)</f>
        <v>0.25655506174956227</v>
      </c>
      <c r="M6" s="13">
        <f>(B6-C6)/C6</f>
        <v>-0.30286517841448407</v>
      </c>
      <c r="N6" s="13">
        <f>(C6-D6)/D6</f>
        <v>0.12542037586547972</v>
      </c>
      <c r="O6" s="13">
        <f>(D6-E6)/E6</f>
        <v>-7.6262410915514403E-2</v>
      </c>
      <c r="P6" s="13">
        <f>(E6-F6)/F6</f>
        <v>0.16103253182461102</v>
      </c>
      <c r="Q6" s="13">
        <f>(F6-G6)/G6</f>
        <v>0.37404684003237854</v>
      </c>
      <c r="S6" s="10">
        <f>(1+M6)</f>
        <v>0.69713482158551598</v>
      </c>
      <c r="T6" s="10">
        <f>(1+N6)</f>
        <v>1.1254203758654797</v>
      </c>
      <c r="U6" s="10">
        <f>(1+O6)</f>
        <v>0.92373758908448556</v>
      </c>
      <c r="V6" s="10">
        <f>(1+P6)</f>
        <v>1.1610325318246111</v>
      </c>
      <c r="W6" s="10">
        <f>(1+Q6)</f>
        <v>1.3740468400323786</v>
      </c>
    </row>
    <row r="7" spans="1:23" x14ac:dyDescent="0.15">
      <c r="A7" s="34" t="s">
        <v>966</v>
      </c>
      <c r="B7" s="13">
        <f t="shared" ref="B7:G7" si="3">B6/B3</f>
        <v>0.68937945419780988</v>
      </c>
      <c r="C7" s="13">
        <f t="shared" si="3"/>
        <v>0.76667714837608369</v>
      </c>
      <c r="D7" s="13">
        <f t="shared" si="3"/>
        <v>0.74770732669361994</v>
      </c>
      <c r="E7" s="13">
        <f t="shared" si="3"/>
        <v>0.71081572566678208</v>
      </c>
      <c r="F7" s="13">
        <f t="shared" si="3"/>
        <v>0.74272507616346251</v>
      </c>
      <c r="G7" s="13">
        <f t="shared" si="3"/>
        <v>0.72708613594998817</v>
      </c>
      <c r="J7" s="31">
        <f>AVERAGE(B7:G7)</f>
        <v>0.73073181117462438</v>
      </c>
      <c r="K7" s="13">
        <f>STDEV(B7:G7)</f>
        <v>2.7727360624812004E-2</v>
      </c>
    </row>
    <row r="8" spans="1:23" x14ac:dyDescent="0.15">
      <c r="A8" s="34" t="s">
        <v>968</v>
      </c>
      <c r="B8" s="13">
        <f t="shared" ref="B8:G8" si="4">B4/B2</f>
        <v>0.47244383310408072</v>
      </c>
      <c r="C8" s="13">
        <f t="shared" si="4"/>
        <v>0.42773778920308481</v>
      </c>
      <c r="D8" s="13">
        <f t="shared" si="4"/>
        <v>0.44893356880858581</v>
      </c>
      <c r="E8" s="13">
        <f t="shared" si="4"/>
        <v>0.4406529267879199</v>
      </c>
      <c r="F8" s="13">
        <f t="shared" si="4"/>
        <v>0.4053412462908012</v>
      </c>
      <c r="G8" s="13">
        <f t="shared" si="4"/>
        <v>0.39706375385050557</v>
      </c>
      <c r="J8" s="31">
        <f>AVERAGE(B8:G8)</f>
        <v>0.43202885300749633</v>
      </c>
      <c r="K8" s="13">
        <f>STDEV(B8:G8)</f>
        <v>2.8095246647751017E-2</v>
      </c>
    </row>
    <row r="10" spans="1:23" x14ac:dyDescent="0.15">
      <c r="A10" s="34" t="s">
        <v>970</v>
      </c>
      <c r="B10" s="59">
        <f t="shared" ref="B10:G10" si="5">B3-B6</f>
        <v>536100</v>
      </c>
      <c r="C10" s="59">
        <f t="shared" si="5"/>
        <v>519400</v>
      </c>
      <c r="D10" s="59">
        <f t="shared" si="5"/>
        <v>511700</v>
      </c>
      <c r="E10" s="59">
        <f t="shared" si="5"/>
        <v>667900</v>
      </c>
      <c r="F10" s="59">
        <f t="shared" si="5"/>
        <v>489800</v>
      </c>
      <c r="G10" s="59">
        <f t="shared" si="5"/>
        <v>386267</v>
      </c>
      <c r="I10" s="13">
        <f>(GEOMEAN(S10:W10))-1</f>
        <v>6.7755064766236162E-2</v>
      </c>
      <c r="J10" s="31">
        <f>AVERAGE(M10:Q10)</f>
        <v>8.8997125193306853E-2</v>
      </c>
      <c r="K10" s="13">
        <f>STDEV(M10:Q10)</f>
        <v>0.2347404301157478</v>
      </c>
      <c r="M10" s="13">
        <f>(B10-C10)/C10</f>
        <v>3.2152483634963418E-2</v>
      </c>
      <c r="N10" s="13">
        <f>(C10-D10)/D10</f>
        <v>1.5047879616963064E-2</v>
      </c>
      <c r="O10" s="13">
        <f>(D10-E10)/E10</f>
        <v>-0.23386734541098966</v>
      </c>
      <c r="P10" s="13">
        <f>(E10-F10)/F10</f>
        <v>0.36361780318497344</v>
      </c>
      <c r="Q10" s="13">
        <f>(F10-G10)/G10</f>
        <v>0.26803480494062398</v>
      </c>
      <c r="S10" s="10">
        <f>(1+M10)</f>
        <v>1.0321524836349634</v>
      </c>
      <c r="T10" s="10">
        <f>(1+N10)</f>
        <v>1.0150478796169631</v>
      </c>
      <c r="U10" s="10">
        <f>(1+O10)</f>
        <v>0.76613265458901036</v>
      </c>
      <c r="V10" s="10">
        <f>(1+P10)</f>
        <v>1.3636178031849735</v>
      </c>
      <c r="W10" s="10">
        <f>(1+Q10)</f>
        <v>1.268034804940624</v>
      </c>
    </row>
    <row r="11" spans="1:23" x14ac:dyDescent="0.15">
      <c r="C11" s="34"/>
    </row>
    <row r="12" spans="1:23" x14ac:dyDescent="0.15">
      <c r="C12" s="3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4:H26"/>
  <sheetViews>
    <sheetView topLeftCell="A4" workbookViewId="0">
      <selection activeCell="C24" sqref="C24"/>
    </sheetView>
  </sheetViews>
  <sheetFormatPr baseColWidth="10" defaultColWidth="8.83203125" defaultRowHeight="13" x14ac:dyDescent="0.15"/>
  <cols>
    <col min="1" max="1" width="57.1640625" customWidth="1"/>
    <col min="2" max="2" width="12.83203125" bestFit="1" customWidth="1"/>
    <col min="3" max="5" width="13.1640625" bestFit="1" customWidth="1"/>
    <col min="6" max="197" width="12" customWidth="1"/>
  </cols>
  <sheetData>
    <row r="4" spans="1:8" x14ac:dyDescent="0.15">
      <c r="A4" s="1" t="s">
        <v>0</v>
      </c>
      <c r="B4" s="1"/>
    </row>
    <row r="5" spans="1:8" ht="20" x14ac:dyDescent="0.2">
      <c r="A5" s="2" t="s">
        <v>1</v>
      </c>
      <c r="B5" s="2"/>
    </row>
    <row r="7" spans="1:8" ht="14" x14ac:dyDescent="0.15">
      <c r="A7" s="3" t="s">
        <v>2</v>
      </c>
      <c r="B7" s="3"/>
    </row>
    <row r="10" spans="1:8" ht="14" x14ac:dyDescent="0.15">
      <c r="A10" s="4" t="s">
        <v>121</v>
      </c>
      <c r="B10" s="4"/>
    </row>
    <row r="11" spans="1:8" ht="14" x14ac:dyDescent="0.15">
      <c r="A11" s="5" t="s">
        <v>4</v>
      </c>
      <c r="B11" s="272" t="s">
        <v>1009</v>
      </c>
      <c r="C11" s="6" t="s">
        <v>5</v>
      </c>
      <c r="D11" s="6" t="s">
        <v>6</v>
      </c>
      <c r="E11" s="6" t="s">
        <v>7</v>
      </c>
      <c r="F11" s="6" t="s">
        <v>8</v>
      </c>
      <c r="G11" s="6" t="s">
        <v>9</v>
      </c>
      <c r="H11" s="5"/>
    </row>
    <row r="12" spans="1:8" ht="14" x14ac:dyDescent="0.15">
      <c r="A12" s="5" t="s">
        <v>10</v>
      </c>
      <c r="B12" s="272" t="s">
        <v>11</v>
      </c>
      <c r="C12" s="6" t="s">
        <v>11</v>
      </c>
      <c r="D12" s="6" t="s">
        <v>11</v>
      </c>
      <c r="E12" s="6" t="s">
        <v>11</v>
      </c>
      <c r="F12" s="6" t="s">
        <v>11</v>
      </c>
      <c r="G12" s="6" t="s">
        <v>11</v>
      </c>
      <c r="H12" s="5"/>
    </row>
    <row r="13" spans="1:8" ht="14" x14ac:dyDescent="0.15">
      <c r="A13" s="5" t="s">
        <v>12</v>
      </c>
      <c r="B13" s="272" t="s">
        <v>13</v>
      </c>
      <c r="C13" s="6" t="s">
        <v>13</v>
      </c>
      <c r="D13" s="6" t="s">
        <v>13</v>
      </c>
      <c r="E13" s="6" t="s">
        <v>13</v>
      </c>
      <c r="F13" s="6" t="s">
        <v>13</v>
      </c>
      <c r="G13" s="6" t="s">
        <v>13</v>
      </c>
      <c r="H13" s="5"/>
    </row>
    <row r="14" spans="1:8" ht="14" x14ac:dyDescent="0.15">
      <c r="A14" s="5" t="s">
        <v>14</v>
      </c>
      <c r="B14" s="272" t="s">
        <v>15</v>
      </c>
      <c r="C14" s="6" t="s">
        <v>15</v>
      </c>
      <c r="D14" s="6" t="s">
        <v>15</v>
      </c>
      <c r="E14" s="6" t="s">
        <v>15</v>
      </c>
      <c r="F14" s="6" t="s">
        <v>15</v>
      </c>
      <c r="G14" s="6" t="s">
        <v>15</v>
      </c>
      <c r="H14" s="5"/>
    </row>
    <row r="15" spans="1:8" ht="14" x14ac:dyDescent="0.15">
      <c r="A15" s="5" t="s">
        <v>16</v>
      </c>
      <c r="B15" s="272" t="s">
        <v>17</v>
      </c>
      <c r="C15" s="6" t="s">
        <v>17</v>
      </c>
      <c r="D15" s="6" t="s">
        <v>17</v>
      </c>
      <c r="E15" s="6" t="s">
        <v>17</v>
      </c>
      <c r="F15" s="6" t="s">
        <v>17</v>
      </c>
      <c r="G15" s="6" t="s">
        <v>17</v>
      </c>
      <c r="H15" s="5"/>
    </row>
    <row r="16" spans="1:8" x14ac:dyDescent="0.15">
      <c r="A16" s="7" t="s">
        <v>120</v>
      </c>
      <c r="B16" s="11">
        <v>-16900</v>
      </c>
      <c r="C16" s="8">
        <v>208700</v>
      </c>
      <c r="D16" s="8">
        <v>516600</v>
      </c>
      <c r="E16" s="8">
        <v>10600</v>
      </c>
      <c r="F16" s="8">
        <v>7600</v>
      </c>
      <c r="G16" s="8">
        <v>13720</v>
      </c>
      <c r="H16" s="7"/>
    </row>
    <row r="17" spans="1:8" x14ac:dyDescent="0.15">
      <c r="A17" s="7" t="s">
        <v>119</v>
      </c>
      <c r="B17" s="12" t="s">
        <v>24</v>
      </c>
      <c r="C17" s="9" t="s">
        <v>24</v>
      </c>
      <c r="D17" s="8">
        <v>21300</v>
      </c>
      <c r="E17" s="8">
        <v>60800</v>
      </c>
      <c r="F17" s="9" t="s">
        <v>24</v>
      </c>
      <c r="G17" s="9" t="s">
        <v>24</v>
      </c>
      <c r="H17" s="7"/>
    </row>
    <row r="18" spans="1:8" x14ac:dyDescent="0.15">
      <c r="A18" s="7" t="s">
        <v>118</v>
      </c>
      <c r="B18" s="12" t="s">
        <v>24</v>
      </c>
      <c r="C18" s="9" t="s">
        <v>24</v>
      </c>
      <c r="D18" s="8">
        <v>38500</v>
      </c>
      <c r="E18" s="8">
        <v>19100</v>
      </c>
      <c r="F18" s="8">
        <v>6300</v>
      </c>
      <c r="G18" s="8">
        <v>50469</v>
      </c>
      <c r="H18" s="7"/>
    </row>
    <row r="19" spans="1:8" x14ac:dyDescent="0.15">
      <c r="A19" s="7" t="s">
        <v>117</v>
      </c>
      <c r="B19" s="11">
        <v>-47100</v>
      </c>
      <c r="C19" s="8">
        <v>-37200</v>
      </c>
      <c r="D19" s="8">
        <v>-6500</v>
      </c>
      <c r="E19" s="8">
        <v>-9300</v>
      </c>
      <c r="F19" s="8">
        <v>-5500</v>
      </c>
      <c r="G19" s="8">
        <v>-5876</v>
      </c>
      <c r="H19" s="7"/>
    </row>
    <row r="20" spans="1:8" x14ac:dyDescent="0.15">
      <c r="A20" s="7" t="s">
        <v>73</v>
      </c>
      <c r="B20" s="11">
        <v>-82900</v>
      </c>
      <c r="C20" s="8">
        <v>-16900</v>
      </c>
      <c r="D20" s="8">
        <v>208700</v>
      </c>
      <c r="E20" s="8">
        <v>516600</v>
      </c>
      <c r="F20" s="8">
        <v>10600</v>
      </c>
      <c r="G20" s="8">
        <v>7584</v>
      </c>
      <c r="H20" s="7"/>
    </row>
    <row r="22" spans="1:8" x14ac:dyDescent="0.15">
      <c r="A22" s="58" t="s">
        <v>254</v>
      </c>
      <c r="B22" s="58"/>
      <c r="C22" s="37">
        <f>'Inc Statement'!C64</f>
        <v>-188400</v>
      </c>
    </row>
    <row r="23" spans="1:8" x14ac:dyDescent="0.15">
      <c r="A23" s="34" t="s">
        <v>892</v>
      </c>
      <c r="B23" s="34"/>
      <c r="C23" s="8">
        <v>37200</v>
      </c>
    </row>
    <row r="24" spans="1:8" x14ac:dyDescent="0.15">
      <c r="C24" s="37"/>
      <c r="D24" s="11">
        <f>C20-C16</f>
        <v>-225600</v>
      </c>
      <c r="E24" s="34" t="s">
        <v>894</v>
      </c>
    </row>
    <row r="26" spans="1:8" x14ac:dyDescent="0.15">
      <c r="C26" s="37">
        <f>C22-C23</f>
        <v>-225600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4:X103"/>
  <sheetViews>
    <sheetView topLeftCell="A7" zoomScale="80" zoomScaleNormal="80" workbookViewId="0">
      <selection activeCell="B31" sqref="B31"/>
    </sheetView>
  </sheetViews>
  <sheetFormatPr baseColWidth="10" defaultColWidth="8.83203125" defaultRowHeight="13" x14ac:dyDescent="0.15"/>
  <cols>
    <col min="1" max="1" width="50" customWidth="1"/>
    <col min="2" max="2" width="15.1640625" customWidth="1"/>
    <col min="3" max="7" width="14" bestFit="1" customWidth="1"/>
    <col min="8" max="8" width="24.1640625" bestFit="1" customWidth="1"/>
    <col min="9" max="9" width="14" customWidth="1"/>
    <col min="10" max="10" width="17" style="9" bestFit="1" customWidth="1"/>
    <col min="11" max="11" width="14" style="9" customWidth="1"/>
    <col min="12" max="13" width="14" customWidth="1"/>
    <col min="14" max="14" width="15" bestFit="1" customWidth="1"/>
    <col min="15" max="204" width="12" customWidth="1"/>
  </cols>
  <sheetData>
    <row r="4" spans="1:24" x14ac:dyDescent="0.15">
      <c r="A4" s="1" t="s">
        <v>0</v>
      </c>
      <c r="B4" s="1"/>
    </row>
    <row r="5" spans="1:24" ht="20" x14ac:dyDescent="0.2">
      <c r="A5" s="2" t="s">
        <v>1</v>
      </c>
      <c r="B5" s="2"/>
    </row>
    <row r="7" spans="1:24" ht="14" x14ac:dyDescent="0.15">
      <c r="A7" s="3" t="s">
        <v>2</v>
      </c>
      <c r="B7" s="3"/>
    </row>
    <row r="10" spans="1:24" ht="14" x14ac:dyDescent="0.15">
      <c r="A10" s="4" t="s">
        <v>116</v>
      </c>
      <c r="B10" s="4"/>
    </row>
    <row r="11" spans="1:24" ht="14" x14ac:dyDescent="0.15">
      <c r="A11" s="5" t="s">
        <v>4</v>
      </c>
      <c r="B11" s="280" t="s">
        <v>1009</v>
      </c>
      <c r="C11" s="6" t="s">
        <v>5</v>
      </c>
      <c r="D11" s="6" t="s">
        <v>6</v>
      </c>
      <c r="E11" s="6" t="s">
        <v>7</v>
      </c>
      <c r="F11" s="6" t="s">
        <v>8</v>
      </c>
      <c r="G11" s="6" t="s">
        <v>9</v>
      </c>
      <c r="H11" s="5"/>
      <c r="I11" s="5"/>
      <c r="J11" s="135"/>
      <c r="K11" s="135"/>
      <c r="L11" s="5"/>
      <c r="M11" s="5"/>
    </row>
    <row r="12" spans="1:24" ht="14" x14ac:dyDescent="0.15">
      <c r="A12" s="5" t="s">
        <v>10</v>
      </c>
      <c r="B12" s="280" t="s">
        <v>11</v>
      </c>
      <c r="C12" s="6" t="s">
        <v>11</v>
      </c>
      <c r="D12" s="6" t="s">
        <v>11</v>
      </c>
      <c r="E12" s="6" t="s">
        <v>11</v>
      </c>
      <c r="F12" s="6" t="s">
        <v>11</v>
      </c>
      <c r="G12" s="6" t="s">
        <v>11</v>
      </c>
      <c r="H12" s="5"/>
      <c r="I12" s="5"/>
      <c r="J12" s="135"/>
      <c r="K12" s="135"/>
      <c r="L12" s="5"/>
      <c r="M12" s="5"/>
    </row>
    <row r="13" spans="1:24" ht="14" x14ac:dyDescent="0.15">
      <c r="A13" s="5" t="s">
        <v>12</v>
      </c>
      <c r="B13" s="280" t="s">
        <v>13</v>
      </c>
      <c r="C13" s="6" t="s">
        <v>13</v>
      </c>
      <c r="D13" s="6" t="s">
        <v>13</v>
      </c>
      <c r="E13" s="6" t="s">
        <v>13</v>
      </c>
      <c r="F13" s="6" t="s">
        <v>13</v>
      </c>
      <c r="G13" s="6" t="s">
        <v>13</v>
      </c>
      <c r="H13" s="5"/>
      <c r="I13" s="5"/>
      <c r="J13" s="135"/>
      <c r="K13" s="135"/>
      <c r="L13" s="5"/>
      <c r="M13" s="5"/>
    </row>
    <row r="14" spans="1:24" ht="14" x14ac:dyDescent="0.15">
      <c r="A14" s="5" t="s">
        <v>14</v>
      </c>
      <c r="B14" s="280" t="s">
        <v>15</v>
      </c>
      <c r="C14" s="6" t="s">
        <v>15</v>
      </c>
      <c r="D14" s="6" t="s">
        <v>15</v>
      </c>
      <c r="E14" s="6" t="s">
        <v>15</v>
      </c>
      <c r="F14" s="6" t="s">
        <v>15</v>
      </c>
      <c r="G14" s="6" t="s">
        <v>15</v>
      </c>
      <c r="H14" s="5"/>
      <c r="I14" s="5"/>
      <c r="J14" s="135"/>
      <c r="K14" s="135"/>
      <c r="L14" s="5"/>
      <c r="M14" s="5"/>
    </row>
    <row r="15" spans="1:24" ht="14" x14ac:dyDescent="0.15">
      <c r="A15" s="5" t="s">
        <v>16</v>
      </c>
      <c r="B15" s="280" t="s">
        <v>17</v>
      </c>
      <c r="C15" s="6" t="s">
        <v>17</v>
      </c>
      <c r="D15" s="6" t="s">
        <v>17</v>
      </c>
      <c r="E15" s="6" t="s">
        <v>17</v>
      </c>
      <c r="F15" s="6" t="s">
        <v>17</v>
      </c>
      <c r="G15" s="6" t="s">
        <v>17</v>
      </c>
      <c r="H15" s="5"/>
      <c r="I15" s="134" t="s">
        <v>312</v>
      </c>
      <c r="J15" s="134" t="s">
        <v>669</v>
      </c>
      <c r="K15" s="134" t="str">
        <f>Ratios!K3</f>
        <v>σ</v>
      </c>
      <c r="L15" s="5"/>
      <c r="M15" s="5" t="s">
        <v>1011</v>
      </c>
      <c r="N15" s="35" t="s">
        <v>275</v>
      </c>
      <c r="O15" s="35" t="s">
        <v>274</v>
      </c>
      <c r="P15" s="35" t="s">
        <v>273</v>
      </c>
      <c r="Q15" s="35" t="s">
        <v>272</v>
      </c>
      <c r="T15" s="35" t="s">
        <v>313</v>
      </c>
    </row>
    <row r="16" spans="1:24" x14ac:dyDescent="0.15">
      <c r="A16" s="7" t="s">
        <v>115</v>
      </c>
      <c r="B16" s="11">
        <v>528700</v>
      </c>
      <c r="C16" s="11">
        <v>318200</v>
      </c>
      <c r="D16" s="11">
        <v>184300</v>
      </c>
      <c r="E16" s="11">
        <v>378100</v>
      </c>
      <c r="F16" s="11">
        <v>321900</v>
      </c>
      <c r="G16" s="11">
        <v>57742</v>
      </c>
      <c r="H16" s="7"/>
      <c r="I16" s="81">
        <f>(GEOMEAN(T16:X16))-1</f>
        <v>0.55719678214392854</v>
      </c>
      <c r="J16" s="80">
        <f>AVERAGE(M16:Q16)</f>
        <v>1.1249780522852046</v>
      </c>
      <c r="K16" s="81">
        <f>STDEV(M16:Q16)</f>
        <v>1.9912043641528063</v>
      </c>
      <c r="L16" s="7"/>
      <c r="M16" s="13">
        <f>(B16-C16)/C16</f>
        <v>0.66153362664990567</v>
      </c>
      <c r="N16" s="13">
        <f>(C16-D16)/D16</f>
        <v>0.72653282691264243</v>
      </c>
      <c r="O16" s="13">
        <f>(D16-E16)/E16</f>
        <v>-0.51256281407035176</v>
      </c>
      <c r="P16" s="13">
        <f>(E16-F16)/F16</f>
        <v>0.17458838148493322</v>
      </c>
      <c r="Q16" s="13">
        <f>(F16-G16)/G16</f>
        <v>4.5747982404488932</v>
      </c>
      <c r="R16" s="58"/>
      <c r="S16" s="58"/>
      <c r="T16" s="10">
        <f>1+(M16)</f>
        <v>1.6615336266499057</v>
      </c>
      <c r="U16" s="10">
        <f>1+(N16)</f>
        <v>1.7265328269126425</v>
      </c>
      <c r="V16" s="10">
        <f>1+(O16)</f>
        <v>0.48743718592964824</v>
      </c>
      <c r="W16" s="10">
        <f>1+(P16)</f>
        <v>1.1745883814849332</v>
      </c>
      <c r="X16" s="10">
        <f>1+(Q16)</f>
        <v>5.5747982404488932</v>
      </c>
    </row>
    <row r="17" spans="1:24" x14ac:dyDescent="0.15">
      <c r="A17" s="7" t="s">
        <v>114</v>
      </c>
      <c r="B17" s="11">
        <v>0</v>
      </c>
      <c r="C17" s="12">
        <v>0</v>
      </c>
      <c r="D17" s="12">
        <v>0</v>
      </c>
      <c r="E17" s="12">
        <v>0</v>
      </c>
      <c r="F17" s="11">
        <v>2800</v>
      </c>
      <c r="G17" s="11">
        <v>2906</v>
      </c>
      <c r="H17" s="7"/>
      <c r="I17" s="79"/>
      <c r="J17" s="78"/>
      <c r="K17" s="79"/>
      <c r="L17" s="7"/>
      <c r="M17" s="7"/>
      <c r="N17" s="13"/>
      <c r="O17" s="13"/>
      <c r="P17" s="13"/>
      <c r="Q17" s="13"/>
    </row>
    <row r="18" spans="1:24" x14ac:dyDescent="0.15">
      <c r="A18" s="43" t="s">
        <v>201</v>
      </c>
      <c r="B18" s="11">
        <v>416300</v>
      </c>
      <c r="C18" s="11">
        <v>565000</v>
      </c>
      <c r="D18" s="11">
        <v>687600</v>
      </c>
      <c r="E18" s="11">
        <v>1009700</v>
      </c>
      <c r="F18" s="11">
        <v>985700</v>
      </c>
      <c r="G18" s="11">
        <v>1107112</v>
      </c>
      <c r="H18" s="7"/>
      <c r="I18" s="79"/>
      <c r="J18" s="78"/>
      <c r="K18" s="79"/>
      <c r="L18" s="7"/>
      <c r="M18" s="7"/>
    </row>
    <row r="19" spans="1:24" x14ac:dyDescent="0.15">
      <c r="A19" s="43" t="s">
        <v>202</v>
      </c>
      <c r="B19" s="11">
        <v>26100</v>
      </c>
      <c r="C19" s="11">
        <v>33700</v>
      </c>
      <c r="D19" s="11">
        <v>35000</v>
      </c>
      <c r="E19" s="11">
        <v>56200</v>
      </c>
      <c r="F19" s="11">
        <v>68600</v>
      </c>
      <c r="G19" s="11">
        <v>51809</v>
      </c>
      <c r="H19" s="7"/>
      <c r="I19" s="79"/>
      <c r="J19" s="78"/>
      <c r="K19" s="79"/>
      <c r="L19" s="7"/>
      <c r="M19" s="7"/>
    </row>
    <row r="20" spans="1:24" x14ac:dyDescent="0.15">
      <c r="A20" s="43" t="s">
        <v>203</v>
      </c>
      <c r="B20" s="18">
        <v>6500</v>
      </c>
      <c r="C20" s="18">
        <v>9300</v>
      </c>
      <c r="D20" s="18">
        <v>5400</v>
      </c>
      <c r="E20" s="18">
        <v>7500</v>
      </c>
      <c r="F20" s="18">
        <v>9000</v>
      </c>
      <c r="G20" s="18">
        <v>6014</v>
      </c>
      <c r="H20" s="7"/>
      <c r="I20" s="79"/>
      <c r="J20" s="78"/>
      <c r="K20" s="79"/>
      <c r="L20" s="7"/>
      <c r="M20" s="7"/>
    </row>
    <row r="21" spans="1:24" x14ac:dyDescent="0.15">
      <c r="A21" s="7" t="s">
        <v>113</v>
      </c>
      <c r="B21" s="11">
        <f>383700</f>
        <v>383700</v>
      </c>
      <c r="C21" s="11">
        <v>522000</v>
      </c>
      <c r="D21" s="11">
        <v>647200</v>
      </c>
      <c r="E21" s="11">
        <v>946000</v>
      </c>
      <c r="F21" s="11">
        <v>908100</v>
      </c>
      <c r="G21" s="11">
        <v>1049289</v>
      </c>
      <c r="H21" s="7"/>
      <c r="I21" s="81">
        <f>(GEOMEAN(T21:X21))-1</f>
        <v>-0.18225229147270183</v>
      </c>
      <c r="J21" s="80">
        <f>AVERAGE(M21:Q21)</f>
        <v>-0.17341376088370469</v>
      </c>
      <c r="K21" s="81">
        <f>STDEV(M21:Q21)</f>
        <v>0.13862524592622077</v>
      </c>
      <c r="L21" s="7"/>
      <c r="M21" s="13">
        <f>(B21-C21)/C21</f>
        <v>-0.26494252873563218</v>
      </c>
      <c r="N21" s="13">
        <f>(C21-D21)/D21</f>
        <v>-0.1934487021013597</v>
      </c>
      <c r="O21" s="13">
        <f>(D21-E21)/E21</f>
        <v>-0.31585623678646935</v>
      </c>
      <c r="P21" s="13">
        <f>(E21-F21)/F21</f>
        <v>4.1735491685937674E-2</v>
      </c>
      <c r="Q21" s="13">
        <f>(F21-G21)/G21</f>
        <v>-0.13455682848099998</v>
      </c>
      <c r="R21" s="13"/>
      <c r="S21" s="13"/>
      <c r="T21" s="10">
        <f t="shared" ref="T21:X22" si="0">1+(M21)</f>
        <v>0.73505747126436782</v>
      </c>
      <c r="U21" s="10">
        <f t="shared" si="0"/>
        <v>0.80655129789864033</v>
      </c>
      <c r="V21" s="10">
        <f t="shared" si="0"/>
        <v>0.68414376321353065</v>
      </c>
      <c r="W21" s="10">
        <f t="shared" si="0"/>
        <v>1.0417354916859376</v>
      </c>
      <c r="X21" s="10">
        <f t="shared" si="0"/>
        <v>0.86544317151900008</v>
      </c>
    </row>
    <row r="22" spans="1:24" x14ac:dyDescent="0.15">
      <c r="A22" s="7" t="s">
        <v>112</v>
      </c>
      <c r="B22" s="11">
        <v>0</v>
      </c>
      <c r="C22" s="11">
        <v>310500</v>
      </c>
      <c r="D22" s="11">
        <v>295700</v>
      </c>
      <c r="E22" s="11">
        <v>253200</v>
      </c>
      <c r="F22" s="11">
        <v>261700</v>
      </c>
      <c r="G22" s="12">
        <v>0</v>
      </c>
      <c r="H22" s="7"/>
      <c r="I22" s="81">
        <v>-1</v>
      </c>
      <c r="J22" s="80">
        <f>AVERAGE(M22:P22)</f>
        <v>-0.20364442774578426</v>
      </c>
      <c r="K22" s="81">
        <f>STDEV(M22:P22)</f>
        <v>0.53723053283181998</v>
      </c>
      <c r="L22" s="7"/>
      <c r="M22" s="13">
        <f>(B22-C22)/C22</f>
        <v>-1</v>
      </c>
      <c r="N22" s="13">
        <f>(C22-D22)/D22</f>
        <v>5.0050727088265135E-2</v>
      </c>
      <c r="O22" s="13">
        <f>(D22-E22)/E22</f>
        <v>0.16785150078988942</v>
      </c>
      <c r="P22" s="13">
        <f>(E22-F22)/F22</f>
        <v>-3.2479938861291552E-2</v>
      </c>
      <c r="Q22" s="13">
        <v>1</v>
      </c>
      <c r="T22" s="10">
        <f t="shared" si="0"/>
        <v>0</v>
      </c>
      <c r="U22" s="10">
        <f t="shared" si="0"/>
        <v>1.0500507270882651</v>
      </c>
      <c r="V22" s="10">
        <f t="shared" si="0"/>
        <v>1.1678515007898893</v>
      </c>
      <c r="W22" s="10">
        <f t="shared" si="0"/>
        <v>0.96752006113870848</v>
      </c>
      <c r="X22" s="10">
        <f t="shared" si="0"/>
        <v>2</v>
      </c>
    </row>
    <row r="23" spans="1:24" x14ac:dyDescent="0.15">
      <c r="A23" s="43" t="s">
        <v>199</v>
      </c>
      <c r="B23" s="11">
        <v>68000</v>
      </c>
      <c r="C23" s="11">
        <v>65700</v>
      </c>
      <c r="D23" s="11">
        <v>150600</v>
      </c>
      <c r="E23" s="11">
        <v>34100</v>
      </c>
      <c r="F23" s="12">
        <v>0</v>
      </c>
      <c r="G23" s="12">
        <v>0</v>
      </c>
      <c r="H23" s="7"/>
      <c r="I23" s="79"/>
      <c r="J23" s="78"/>
      <c r="K23" s="79"/>
      <c r="L23" s="7"/>
      <c r="M23" s="37"/>
      <c r="N23" s="37"/>
    </row>
    <row r="24" spans="1:24" x14ac:dyDescent="0.15">
      <c r="A24" s="43" t="s">
        <v>200</v>
      </c>
      <c r="B24" s="11">
        <v>14300</v>
      </c>
      <c r="C24" s="11">
        <f>C27-C26-C23</f>
        <v>13400</v>
      </c>
      <c r="D24" s="11">
        <v>19900</v>
      </c>
      <c r="E24" s="11">
        <v>20300</v>
      </c>
      <c r="F24" s="12">
        <v>0</v>
      </c>
      <c r="G24" s="12">
        <v>0</v>
      </c>
      <c r="H24" s="21"/>
      <c r="I24" s="79"/>
      <c r="J24" s="78"/>
      <c r="K24" s="79"/>
      <c r="L24" s="21"/>
    </row>
    <row r="25" spans="1:24" x14ac:dyDescent="0.15">
      <c r="A25" s="43" t="s">
        <v>1012</v>
      </c>
      <c r="B25" s="11">
        <v>123600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21"/>
      <c r="I25" s="79"/>
      <c r="J25" s="78"/>
      <c r="K25" s="79"/>
      <c r="L25" s="21"/>
    </row>
    <row r="26" spans="1:24" x14ac:dyDescent="0.15">
      <c r="A26" s="43" t="s">
        <v>196</v>
      </c>
      <c r="B26" s="18">
        <v>68400</v>
      </c>
      <c r="C26" s="18">
        <v>78300</v>
      </c>
      <c r="D26" s="18">
        <v>96700</v>
      </c>
      <c r="E26" s="18">
        <v>141400</v>
      </c>
      <c r="F26" s="19">
        <v>0</v>
      </c>
      <c r="G26" s="19">
        <v>0</v>
      </c>
      <c r="H26" s="7"/>
      <c r="I26" s="79"/>
      <c r="J26" s="78"/>
      <c r="K26" s="79"/>
      <c r="L26" s="7"/>
      <c r="M26" s="37"/>
      <c r="N26" s="37"/>
    </row>
    <row r="27" spans="1:24" x14ac:dyDescent="0.15">
      <c r="A27" s="7" t="s">
        <v>111</v>
      </c>
      <c r="B27" s="20">
        <f>274300</f>
        <v>274300</v>
      </c>
      <c r="C27" s="18">
        <v>157400</v>
      </c>
      <c r="D27" s="18">
        <v>267200</v>
      </c>
      <c r="E27" s="18">
        <v>195800</v>
      </c>
      <c r="F27" s="18">
        <v>195900</v>
      </c>
      <c r="G27" s="19">
        <v>0</v>
      </c>
      <c r="H27" s="7"/>
      <c r="I27" s="81">
        <f>(GEOMEAN(T27:W27))-1</f>
        <v>8.7796965304982821E-2</v>
      </c>
      <c r="J27" s="80">
        <f>AVERAGE(M27:P27)</f>
        <v>0.17397824492134412</v>
      </c>
      <c r="K27" s="81">
        <f>STDEV(N27:P27)</f>
        <v>0.38801291238196955</v>
      </c>
      <c r="L27" s="7"/>
      <c r="M27" s="60">
        <f t="shared" ref="M27:P28" si="1">(B27-C27)/C27</f>
        <v>0.74269377382465063</v>
      </c>
      <c r="N27" s="60">
        <f t="shared" si="1"/>
        <v>-0.41092814371257486</v>
      </c>
      <c r="O27" s="60">
        <f t="shared" si="1"/>
        <v>0.36465781409601633</v>
      </c>
      <c r="P27" s="60">
        <f t="shared" si="1"/>
        <v>-5.1046452271567128E-4</v>
      </c>
      <c r="Q27" s="60">
        <v>1</v>
      </c>
      <c r="T27" s="10">
        <f t="shared" ref="T27:X28" si="2">1+(M27)</f>
        <v>1.7426937738246506</v>
      </c>
      <c r="U27" s="10">
        <f t="shared" si="2"/>
        <v>0.58907185628742509</v>
      </c>
      <c r="V27" s="10">
        <f t="shared" si="2"/>
        <v>1.3646578140960164</v>
      </c>
      <c r="W27" s="10">
        <f t="shared" si="2"/>
        <v>0.99948953547728436</v>
      </c>
      <c r="X27" s="10">
        <f t="shared" si="2"/>
        <v>2</v>
      </c>
    </row>
    <row r="28" spans="1:24" x14ac:dyDescent="0.15">
      <c r="A28" s="7" t="s">
        <v>110</v>
      </c>
      <c r="B28" s="11">
        <v>1186700</v>
      </c>
      <c r="C28" s="11">
        <v>1308100</v>
      </c>
      <c r="D28" s="11">
        <v>1394400</v>
      </c>
      <c r="E28" s="11">
        <v>1773100</v>
      </c>
      <c r="F28" s="11">
        <v>1690400</v>
      </c>
      <c r="G28" s="12">
        <f>SUM(G16:G17)+G21</f>
        <v>1109937</v>
      </c>
      <c r="H28" s="7"/>
      <c r="I28" s="81">
        <f>(GEOMEAN(T28:X28))-1</f>
        <v>1.3464458026031911E-2</v>
      </c>
      <c r="J28" s="80">
        <f>AVERAGE(M28:Q28)</f>
        <v>4.0723027988548301E-2</v>
      </c>
      <c r="K28" s="81">
        <f>STDEV(N28:Q28)</f>
        <v>0.31799954473636144</v>
      </c>
      <c r="L28" s="7"/>
      <c r="M28" s="13">
        <f t="shared" si="1"/>
        <v>-9.2806360370002297E-2</v>
      </c>
      <c r="N28" s="13">
        <f t="shared" si="1"/>
        <v>-6.1890418818129664E-2</v>
      </c>
      <c r="O28" s="13">
        <f t="shared" si="1"/>
        <v>-0.21358073430714566</v>
      </c>
      <c r="P28" s="13">
        <f t="shared" si="1"/>
        <v>4.8923331755797446E-2</v>
      </c>
      <c r="Q28" s="13">
        <f>(F28-G28)/G28</f>
        <v>0.52296932168222166</v>
      </c>
      <c r="T28" s="10">
        <f t="shared" si="2"/>
        <v>0.90719363962999766</v>
      </c>
      <c r="U28" s="10">
        <f t="shared" si="2"/>
        <v>0.93810958118187038</v>
      </c>
      <c r="V28" s="10">
        <f t="shared" si="2"/>
        <v>0.78641926569285436</v>
      </c>
      <c r="W28" s="10">
        <f t="shared" si="2"/>
        <v>1.0489233317557976</v>
      </c>
      <c r="X28" s="10">
        <f t="shared" si="2"/>
        <v>1.5229693216822215</v>
      </c>
    </row>
    <row r="29" spans="1:24" x14ac:dyDescent="0.15">
      <c r="A29" s="7"/>
      <c r="B29" s="37"/>
      <c r="C29" s="11"/>
      <c r="D29" s="11"/>
      <c r="E29" s="11"/>
      <c r="F29" s="11"/>
      <c r="G29" s="12"/>
      <c r="H29" s="7"/>
      <c r="I29" s="79"/>
      <c r="J29" s="78"/>
      <c r="K29" s="79"/>
      <c r="L29" s="7"/>
    </row>
    <row r="30" spans="1:24" x14ac:dyDescent="0.15">
      <c r="A30" s="7" t="s">
        <v>109</v>
      </c>
      <c r="B30" s="37">
        <v>0</v>
      </c>
      <c r="C30" s="12">
        <v>0</v>
      </c>
      <c r="D30" s="12">
        <v>0</v>
      </c>
      <c r="E30" s="12">
        <v>0</v>
      </c>
      <c r="F30" s="12">
        <v>0</v>
      </c>
      <c r="G30" s="11">
        <v>1478296</v>
      </c>
      <c r="H30" s="7"/>
      <c r="I30" s="79"/>
      <c r="J30" s="78"/>
      <c r="K30" s="79"/>
      <c r="L30" s="7"/>
    </row>
    <row r="31" spans="1:24" x14ac:dyDescent="0.15">
      <c r="A31" s="7" t="s">
        <v>108</v>
      </c>
      <c r="B31" s="11">
        <v>2222700</v>
      </c>
      <c r="C31" s="11">
        <v>1517300</v>
      </c>
      <c r="D31" s="11">
        <v>1672000</v>
      </c>
      <c r="E31" s="11">
        <v>1692000</v>
      </c>
      <c r="F31" s="11">
        <v>1729500</v>
      </c>
      <c r="G31" s="12">
        <v>0</v>
      </c>
      <c r="H31" s="21"/>
      <c r="I31" s="81">
        <f>(GEOMEAN(T31:X31))-1</f>
        <v>8.4985388411188856E-2</v>
      </c>
      <c r="J31" s="80">
        <f>AVERAGE(M31:Q31)</f>
        <v>0.10176120455383982</v>
      </c>
      <c r="K31" s="81">
        <f>STDEV(M31:Q31)</f>
        <v>0.22494766575097472</v>
      </c>
      <c r="L31" s="7"/>
      <c r="M31" s="13">
        <f>(B31-C31)/C31</f>
        <v>0.4649047650431688</v>
      </c>
      <c r="N31" s="13">
        <f>(C31-D31)/D31</f>
        <v>-9.2523923444976078E-2</v>
      </c>
      <c r="O31" s="13">
        <f>(D31-E31)/E31</f>
        <v>-1.1820330969267139E-2</v>
      </c>
      <c r="P31" s="13">
        <f>(E31-F31)/F31</f>
        <v>-2.1682567215958369E-2</v>
      </c>
      <c r="Q31" s="13">
        <f>(F31-G30)/G30</f>
        <v>0.16992807935623178</v>
      </c>
      <c r="T31" s="10">
        <f>1+(M31)</f>
        <v>1.4649047650431688</v>
      </c>
      <c r="U31" s="10">
        <f>1+(N31)</f>
        <v>0.90747607655502394</v>
      </c>
      <c r="V31" s="10">
        <f>1+(O31)</f>
        <v>0.98817966903073284</v>
      </c>
      <c r="W31" s="10">
        <f>1+(P31)</f>
        <v>0.9783174327840416</v>
      </c>
      <c r="X31" s="10">
        <f>1+(Q31)</f>
        <v>1.1699280793562319</v>
      </c>
    </row>
    <row r="32" spans="1:24" x14ac:dyDescent="0.15">
      <c r="A32" s="43" t="s">
        <v>184</v>
      </c>
      <c r="B32" s="11">
        <v>15200</v>
      </c>
      <c r="C32" s="11">
        <v>29700</v>
      </c>
      <c r="D32" s="11">
        <v>29100</v>
      </c>
      <c r="E32" s="11">
        <v>30400</v>
      </c>
      <c r="F32" s="11">
        <v>25800</v>
      </c>
      <c r="G32" s="12">
        <v>0</v>
      </c>
      <c r="H32" s="7"/>
      <c r="I32" s="79"/>
      <c r="J32" s="78"/>
      <c r="K32" s="79"/>
      <c r="L32" s="7"/>
    </row>
    <row r="33" spans="1:24" x14ac:dyDescent="0.15">
      <c r="A33" s="43" t="s">
        <v>185</v>
      </c>
      <c r="B33" s="12">
        <v>0</v>
      </c>
      <c r="C33" s="11">
        <v>50400</v>
      </c>
      <c r="D33" s="11">
        <v>50400</v>
      </c>
      <c r="E33" s="11">
        <v>50400</v>
      </c>
      <c r="F33" s="11">
        <v>50400</v>
      </c>
      <c r="G33" s="12">
        <v>0</v>
      </c>
      <c r="H33" s="7"/>
      <c r="I33" s="79"/>
      <c r="J33" s="78"/>
      <c r="K33" s="79"/>
      <c r="L33" s="7"/>
    </row>
    <row r="34" spans="1:24" x14ac:dyDescent="0.15">
      <c r="A34" s="43" t="s">
        <v>186</v>
      </c>
      <c r="B34" s="11">
        <v>42900</v>
      </c>
      <c r="C34" s="11">
        <v>43400</v>
      </c>
      <c r="D34" s="11">
        <v>43200</v>
      </c>
      <c r="E34" s="11">
        <v>29700</v>
      </c>
      <c r="F34" s="11">
        <v>22500</v>
      </c>
      <c r="G34" s="11">
        <v>20509</v>
      </c>
      <c r="H34" s="7"/>
      <c r="I34" s="79"/>
      <c r="J34" s="78"/>
      <c r="K34" s="79"/>
      <c r="L34" s="7"/>
    </row>
    <row r="35" spans="1:24" x14ac:dyDescent="0.15">
      <c r="A35" s="43" t="s">
        <v>187</v>
      </c>
      <c r="B35" s="11">
        <v>16700</v>
      </c>
      <c r="C35" s="11">
        <v>25900</v>
      </c>
      <c r="D35" s="11">
        <v>25600</v>
      </c>
      <c r="E35" s="11">
        <v>21100</v>
      </c>
      <c r="F35" s="11">
        <v>17900</v>
      </c>
      <c r="G35" s="11">
        <v>15402</v>
      </c>
      <c r="H35" s="7"/>
      <c r="I35" s="79"/>
      <c r="J35" s="78"/>
      <c r="K35" s="79"/>
      <c r="L35" s="7"/>
    </row>
    <row r="36" spans="1:24" x14ac:dyDescent="0.15">
      <c r="A36" s="43" t="s">
        <v>188</v>
      </c>
      <c r="B36" s="18">
        <v>197000</v>
      </c>
      <c r="C36" s="18">
        <v>162400</v>
      </c>
      <c r="D36" s="18">
        <v>146800</v>
      </c>
      <c r="E36" s="18">
        <v>117200</v>
      </c>
      <c r="F36" s="18">
        <v>88400</v>
      </c>
      <c r="G36" s="18">
        <v>52261</v>
      </c>
      <c r="H36" s="7"/>
      <c r="I36" s="79"/>
      <c r="J36" s="78"/>
      <c r="K36" s="79"/>
      <c r="L36" s="7"/>
      <c r="M36" s="37"/>
      <c r="N36" s="37"/>
    </row>
    <row r="37" spans="1:24" x14ac:dyDescent="0.15">
      <c r="A37" s="43" t="s">
        <v>189</v>
      </c>
      <c r="B37" s="11">
        <v>271800</v>
      </c>
      <c r="C37" s="11">
        <v>311800</v>
      </c>
      <c r="D37" s="11">
        <v>295100</v>
      </c>
      <c r="E37" s="11">
        <v>248800</v>
      </c>
      <c r="F37" s="11">
        <v>205000</v>
      </c>
      <c r="G37" s="11">
        <v>88172</v>
      </c>
      <c r="H37" s="7"/>
      <c r="I37" s="79"/>
      <c r="J37" s="78"/>
      <c r="K37" s="79"/>
      <c r="L37" s="7"/>
      <c r="M37" s="37"/>
      <c r="N37" s="37"/>
      <c r="O37" s="37"/>
      <c r="P37" s="37"/>
      <c r="Q37" s="37"/>
      <c r="R37" s="37"/>
      <c r="S37" s="37"/>
    </row>
    <row r="38" spans="1:24" x14ac:dyDescent="0.15">
      <c r="A38" s="43" t="s">
        <v>190</v>
      </c>
      <c r="B38" s="18">
        <v>181900</v>
      </c>
      <c r="C38" s="18">
        <v>172100</v>
      </c>
      <c r="D38" s="18">
        <v>141000</v>
      </c>
      <c r="E38" s="18">
        <v>88300</v>
      </c>
      <c r="F38" s="18">
        <v>40700</v>
      </c>
      <c r="G38" s="18">
        <v>45994</v>
      </c>
      <c r="H38" s="7"/>
      <c r="I38" s="79"/>
      <c r="J38" s="78"/>
      <c r="K38" s="79"/>
      <c r="L38" s="7"/>
    </row>
    <row r="39" spans="1:24" x14ac:dyDescent="0.15">
      <c r="A39" s="43" t="s">
        <v>191</v>
      </c>
      <c r="B39" s="11">
        <v>89900</v>
      </c>
      <c r="C39" s="11">
        <v>139700</v>
      </c>
      <c r="D39" s="11">
        <v>154100</v>
      </c>
      <c r="E39" s="11">
        <v>160500</v>
      </c>
      <c r="F39" s="11">
        <v>164300</v>
      </c>
      <c r="G39" s="11">
        <v>42178</v>
      </c>
      <c r="H39" s="7"/>
      <c r="I39" s="79"/>
      <c r="J39" s="78"/>
      <c r="K39" s="79"/>
      <c r="L39" s="7"/>
    </row>
    <row r="40" spans="1:24" x14ac:dyDescent="0.15">
      <c r="A40" s="43" t="s">
        <v>192</v>
      </c>
      <c r="B40" s="18">
        <v>1200</v>
      </c>
      <c r="C40" s="18">
        <v>1200</v>
      </c>
      <c r="D40" s="18">
        <v>1200</v>
      </c>
      <c r="E40" s="18">
        <v>1200</v>
      </c>
      <c r="F40" s="18">
        <v>1200</v>
      </c>
      <c r="G40" s="18">
        <v>1206</v>
      </c>
      <c r="H40" s="7"/>
      <c r="I40" s="79"/>
      <c r="J40" s="78"/>
      <c r="K40" s="79"/>
      <c r="L40" s="7"/>
    </row>
    <row r="41" spans="1:24" x14ac:dyDescent="0.15">
      <c r="A41" s="7" t="s">
        <v>107</v>
      </c>
      <c r="B41" s="11">
        <v>91100</v>
      </c>
      <c r="C41" s="11">
        <v>140900</v>
      </c>
      <c r="D41" s="11">
        <v>155300</v>
      </c>
      <c r="E41" s="11">
        <v>161700</v>
      </c>
      <c r="F41" s="11">
        <v>165500</v>
      </c>
      <c r="G41" s="11">
        <v>43384</v>
      </c>
      <c r="H41" s="7"/>
      <c r="I41" s="81">
        <f>(GEOMEAN(T41:X41))-1</f>
        <v>0.15994596129824035</v>
      </c>
      <c r="J41" s="80">
        <f>AVERAGE(M41:Q41)</f>
        <v>0.46121286220537938</v>
      </c>
      <c r="K41" s="81">
        <f>STDEV(M41:Q41)</f>
        <v>1.3223992204028092</v>
      </c>
      <c r="L41" s="7"/>
      <c r="M41" s="13">
        <f>(B41-C41)/C41</f>
        <v>-0.35344215755855218</v>
      </c>
      <c r="N41" s="13">
        <f>(C41-D41)/D41</f>
        <v>-9.2723760463618798E-2</v>
      </c>
      <c r="O41" s="13">
        <f>(D41-E41)/E41</f>
        <v>-3.9579468150896725E-2</v>
      </c>
      <c r="P41" s="13">
        <f>(E41-F41)/F41</f>
        <v>-2.2960725075528703E-2</v>
      </c>
      <c r="Q41" s="13">
        <f>(F41-G41)/G41</f>
        <v>2.8147704222754935</v>
      </c>
      <c r="T41" s="10">
        <f t="shared" ref="T41:X44" si="3">1+(M41)</f>
        <v>0.64655784244144776</v>
      </c>
      <c r="U41" s="10">
        <f t="shared" si="3"/>
        <v>0.90727623953638115</v>
      </c>
      <c r="V41" s="10">
        <f t="shared" si="3"/>
        <v>0.96042053184910325</v>
      </c>
      <c r="W41" s="10">
        <f t="shared" si="3"/>
        <v>0.97703927492447129</v>
      </c>
      <c r="X41" s="10">
        <f t="shared" si="3"/>
        <v>3.8147704222754935</v>
      </c>
    </row>
    <row r="42" spans="1:24" x14ac:dyDescent="0.15">
      <c r="A42" s="7" t="s">
        <v>106</v>
      </c>
      <c r="B42" s="11">
        <v>31900</v>
      </c>
      <c r="C42" s="11">
        <v>40300</v>
      </c>
      <c r="D42" s="11">
        <v>26200</v>
      </c>
      <c r="E42" s="11">
        <v>164900</v>
      </c>
      <c r="F42" s="11">
        <v>371500</v>
      </c>
      <c r="G42" s="11">
        <v>464346</v>
      </c>
      <c r="H42" s="7"/>
      <c r="I42" s="81">
        <f>(GEOMEAN(T42:X42))-1</f>
        <v>-0.4146848101883045</v>
      </c>
      <c r="J42" s="80">
        <f>AVERAGE(M42:Q42)</f>
        <v>-0.25349169460148524</v>
      </c>
      <c r="K42" s="81">
        <f>STDEV(M42:Q42)</f>
        <v>0.51684377750663246</v>
      </c>
      <c r="L42" s="7"/>
      <c r="M42" s="13">
        <f t="shared" ref="M42:P44" si="4">(B42-C42)/C42</f>
        <v>-0.20843672456575682</v>
      </c>
      <c r="N42" s="13">
        <f t="shared" si="4"/>
        <v>0.53816793893129766</v>
      </c>
      <c r="O42" s="13">
        <f t="shared" si="4"/>
        <v>-0.84111582777440874</v>
      </c>
      <c r="P42" s="13">
        <f t="shared" si="4"/>
        <v>-0.55612382234185731</v>
      </c>
      <c r="Q42" s="13">
        <f>(F42-G42)/G42</f>
        <v>-0.19995003725670082</v>
      </c>
      <c r="T42" s="10">
        <f t="shared" si="3"/>
        <v>0.79156327543424321</v>
      </c>
      <c r="U42" s="10">
        <f t="shared" si="3"/>
        <v>1.5381679389312977</v>
      </c>
      <c r="V42" s="10">
        <f t="shared" si="3"/>
        <v>0.15888417222559126</v>
      </c>
      <c r="W42" s="10">
        <f t="shared" si="3"/>
        <v>0.44387617765814269</v>
      </c>
      <c r="X42" s="10">
        <f t="shared" si="3"/>
        <v>0.8000499627432992</v>
      </c>
    </row>
    <row r="43" spans="1:24" x14ac:dyDescent="0.15">
      <c r="A43" s="7" t="s">
        <v>105</v>
      </c>
      <c r="B43" s="11">
        <v>1575100</v>
      </c>
      <c r="C43" s="11">
        <v>1719600</v>
      </c>
      <c r="D43" s="11">
        <v>1871600</v>
      </c>
      <c r="E43" s="11">
        <v>1937700</v>
      </c>
      <c r="F43" s="11">
        <v>2046700</v>
      </c>
      <c r="G43" s="12">
        <v>0</v>
      </c>
      <c r="H43" s="7"/>
      <c r="I43" s="81">
        <f>(GEOMEAN(T43:W43))-1</f>
        <v>-6.3379874297866068E-2</v>
      </c>
      <c r="J43" s="80">
        <f>AVERAGE(M43:P43)</f>
        <v>-6.3153543498228937E-2</v>
      </c>
      <c r="K43" s="81">
        <f>STDEV(M43:P43)</f>
        <v>2.3828422781258938E-2</v>
      </c>
      <c r="L43" s="7"/>
      <c r="M43" s="13">
        <f t="shared" si="4"/>
        <v>-8.4031170039544079E-2</v>
      </c>
      <c r="N43" s="13">
        <f t="shared" si="4"/>
        <v>-8.1213934601410562E-2</v>
      </c>
      <c r="O43" s="13">
        <f t="shared" si="4"/>
        <v>-3.4112607730814884E-2</v>
      </c>
      <c r="P43" s="13">
        <f t="shared" si="4"/>
        <v>-5.3256461621146237E-2</v>
      </c>
      <c r="Q43" s="13">
        <v>1</v>
      </c>
      <c r="T43" s="10">
        <f t="shared" si="3"/>
        <v>0.91596882996045592</v>
      </c>
      <c r="U43" s="10">
        <f t="shared" si="3"/>
        <v>0.91878606539858942</v>
      </c>
      <c r="V43" s="10">
        <f t="shared" si="3"/>
        <v>0.96588739226918507</v>
      </c>
      <c r="W43" s="10">
        <f t="shared" si="3"/>
        <v>0.94674353837885372</v>
      </c>
      <c r="X43" s="10">
        <f t="shared" si="3"/>
        <v>2</v>
      </c>
    </row>
    <row r="44" spans="1:24" x14ac:dyDescent="0.15">
      <c r="A44" s="7" t="s">
        <v>104</v>
      </c>
      <c r="B44" s="11">
        <v>2764500</v>
      </c>
      <c r="C44" s="11">
        <v>2833500</v>
      </c>
      <c r="D44" s="11">
        <v>2833500</v>
      </c>
      <c r="E44" s="11">
        <v>2740800</v>
      </c>
      <c r="F44" s="11">
        <v>2700500</v>
      </c>
      <c r="G44" s="11">
        <v>534780</v>
      </c>
      <c r="H44" s="7"/>
      <c r="I44" s="81">
        <f>(GEOMEAN(T44:X44))-1</f>
        <v>0.3889553581313554</v>
      </c>
      <c r="J44" s="80">
        <f>AVERAGE(M44:Q44)</f>
        <v>0.81482679507134592</v>
      </c>
      <c r="K44" s="81">
        <f>STDEV(M44:Q44)</f>
        <v>1.8084966703576695</v>
      </c>
      <c r="L44" s="7"/>
      <c r="M44" s="13">
        <f t="shared" si="4"/>
        <v>-2.4351508734780307E-2</v>
      </c>
      <c r="N44" s="13">
        <f t="shared" si="4"/>
        <v>0</v>
      </c>
      <c r="O44" s="13">
        <f t="shared" si="4"/>
        <v>3.3822241681260946E-2</v>
      </c>
      <c r="P44" s="13">
        <f t="shared" si="4"/>
        <v>1.492316237733753E-2</v>
      </c>
      <c r="Q44" s="13">
        <f>(F44-G44)/G44</f>
        <v>4.0497400800329109</v>
      </c>
      <c r="T44" s="10">
        <f t="shared" si="3"/>
        <v>0.97564849126521969</v>
      </c>
      <c r="U44" s="10">
        <f t="shared" si="3"/>
        <v>1</v>
      </c>
      <c r="V44" s="10">
        <f t="shared" si="3"/>
        <v>1.033822241681261</v>
      </c>
      <c r="W44" s="10">
        <f t="shared" si="3"/>
        <v>1.0149231623773376</v>
      </c>
      <c r="X44" s="10">
        <f t="shared" si="3"/>
        <v>5.0497400800329109</v>
      </c>
    </row>
    <row r="45" spans="1:24" x14ac:dyDescent="0.15">
      <c r="A45" s="43" t="s">
        <v>193</v>
      </c>
      <c r="B45" s="11">
        <v>0</v>
      </c>
      <c r="C45" s="12">
        <v>0</v>
      </c>
      <c r="D45" s="12">
        <v>0</v>
      </c>
      <c r="E45" s="12">
        <v>0</v>
      </c>
      <c r="F45" s="12">
        <v>0</v>
      </c>
      <c r="G45" s="11">
        <v>21269</v>
      </c>
      <c r="H45" s="7"/>
      <c r="I45" s="79"/>
      <c r="J45" s="78"/>
      <c r="K45" s="79"/>
      <c r="L45" s="7"/>
      <c r="T45" s="10"/>
      <c r="U45" s="10"/>
      <c r="V45" s="10"/>
      <c r="W45" s="10"/>
      <c r="X45" s="10"/>
    </row>
    <row r="46" spans="1:24" x14ac:dyDescent="0.15">
      <c r="A46" s="43" t="s">
        <v>194</v>
      </c>
      <c r="B46" s="11">
        <v>25800</v>
      </c>
      <c r="C46" s="11">
        <v>34300</v>
      </c>
      <c r="D46" s="11">
        <v>109200</v>
      </c>
      <c r="E46" s="11">
        <v>23800</v>
      </c>
      <c r="F46" s="11">
        <v>39900</v>
      </c>
      <c r="G46" s="11">
        <v>57725</v>
      </c>
      <c r="H46" s="7"/>
      <c r="I46" s="81">
        <f>(GEOMEAN(T46:X46))-1</f>
        <v>-0.14876170558100255</v>
      </c>
      <c r="J46" s="80">
        <f>AVERAGE(M46:Q46)</f>
        <v>0.3884447980999346</v>
      </c>
      <c r="K46" s="81">
        <f>STDEV(M46:Q46)</f>
        <v>1.7965956788430304</v>
      </c>
      <c r="L46" s="7"/>
      <c r="M46" s="13">
        <f>(B46-C46)/C46</f>
        <v>-0.24781341107871721</v>
      </c>
      <c r="N46" s="13">
        <f>(C46-D46)/D46</f>
        <v>-0.6858974358974359</v>
      </c>
      <c r="O46" s="13">
        <f>(D46-E46)/E46</f>
        <v>3.5882352941176472</v>
      </c>
      <c r="P46" s="13">
        <f>(E46-F46)/F46</f>
        <v>-0.40350877192982454</v>
      </c>
      <c r="Q46" s="13">
        <f>(F46-G46)/G46</f>
        <v>-0.30879168471199653</v>
      </c>
      <c r="T46" s="10">
        <f t="shared" ref="T46:X47" si="5">1+(M46)</f>
        <v>0.75218658892128276</v>
      </c>
      <c r="U46" s="10">
        <f t="shared" si="5"/>
        <v>0.3141025641025641</v>
      </c>
      <c r="V46" s="10">
        <f t="shared" si="5"/>
        <v>4.5882352941176467</v>
      </c>
      <c r="W46" s="10">
        <f t="shared" si="5"/>
        <v>0.59649122807017552</v>
      </c>
      <c r="X46" s="10">
        <f t="shared" si="5"/>
        <v>0.69120831528800353</v>
      </c>
    </row>
    <row r="47" spans="1:24" x14ac:dyDescent="0.15">
      <c r="A47" s="43" t="s">
        <v>195</v>
      </c>
      <c r="B47" s="11">
        <v>49400</v>
      </c>
      <c r="C47" s="11">
        <v>53600</v>
      </c>
      <c r="D47" s="11">
        <v>176100</v>
      </c>
      <c r="E47" s="11">
        <v>325200</v>
      </c>
      <c r="F47" s="11">
        <v>313100</v>
      </c>
      <c r="G47" s="12">
        <v>0</v>
      </c>
      <c r="H47" s="7"/>
      <c r="I47" s="81">
        <f>(GEOMEAN(T47:W47))-1</f>
        <v>-0.36975273409452281</v>
      </c>
      <c r="J47" s="80">
        <f>AVERAGE(M47:P47)</f>
        <v>-0.29845674453651699</v>
      </c>
      <c r="K47" s="81">
        <f>STDEV(M47:P47)</f>
        <v>0.33933061427832129</v>
      </c>
      <c r="L47" s="7"/>
      <c r="M47" s="13">
        <f>(B47-C47)/C47</f>
        <v>-7.8358208955223885E-2</v>
      </c>
      <c r="N47" s="13">
        <f>(C47-D47)/D47</f>
        <v>-0.69562748438387279</v>
      </c>
      <c r="O47" s="13">
        <f>(D47-E47)/E47</f>
        <v>-0.45848708487084872</v>
      </c>
      <c r="P47" s="13">
        <f>(E47-F47)/F47</f>
        <v>3.8645800063877356E-2</v>
      </c>
      <c r="Q47" s="13">
        <v>1</v>
      </c>
      <c r="T47" s="10">
        <f t="shared" si="5"/>
        <v>0.92164179104477606</v>
      </c>
      <c r="U47" s="10">
        <f t="shared" si="5"/>
        <v>0.30437251561612721</v>
      </c>
      <c r="V47" s="10">
        <f t="shared" si="5"/>
        <v>0.54151291512915134</v>
      </c>
      <c r="W47" s="10">
        <f t="shared" si="5"/>
        <v>1.0386458000638774</v>
      </c>
      <c r="X47" s="10">
        <f t="shared" si="5"/>
        <v>2</v>
      </c>
    </row>
    <row r="48" spans="1:24" x14ac:dyDescent="0.15">
      <c r="A48" s="43" t="s">
        <v>196</v>
      </c>
      <c r="B48" s="11">
        <v>181200</v>
      </c>
      <c r="C48" s="11">
        <v>166700</v>
      </c>
      <c r="D48" s="11">
        <v>150800</v>
      </c>
      <c r="E48" s="11">
        <v>109600</v>
      </c>
      <c r="F48" s="11">
        <v>119800</v>
      </c>
      <c r="G48" s="12">
        <v>0</v>
      </c>
      <c r="H48" s="7"/>
      <c r="I48" s="79"/>
      <c r="J48" s="78"/>
      <c r="K48" s="79"/>
      <c r="L48" s="7"/>
    </row>
    <row r="49" spans="1:24" x14ac:dyDescent="0.15">
      <c r="A49" s="43" t="s">
        <v>197</v>
      </c>
      <c r="B49" s="11">
        <v>127000</v>
      </c>
      <c r="C49" s="11">
        <v>136900</v>
      </c>
      <c r="D49" s="12">
        <v>0</v>
      </c>
      <c r="E49" s="12">
        <v>0</v>
      </c>
      <c r="F49" s="12">
        <v>0</v>
      </c>
      <c r="G49" s="12">
        <v>0</v>
      </c>
      <c r="H49" s="7"/>
      <c r="I49" s="79"/>
      <c r="J49" s="78"/>
      <c r="K49" s="79"/>
      <c r="L49" s="7"/>
      <c r="O49" s="37"/>
    </row>
    <row r="50" spans="1:24" x14ac:dyDescent="0.15">
      <c r="A50" s="43" t="s">
        <v>198</v>
      </c>
      <c r="B50" s="18">
        <v>50800</v>
      </c>
      <c r="C50" s="19">
        <v>0</v>
      </c>
      <c r="D50" s="19">
        <v>0</v>
      </c>
      <c r="E50" s="19">
        <v>0</v>
      </c>
      <c r="F50" s="19">
        <v>0</v>
      </c>
      <c r="G50" s="18">
        <v>11350</v>
      </c>
      <c r="H50" s="7"/>
      <c r="I50" s="79"/>
      <c r="J50" s="78"/>
      <c r="K50" s="79"/>
      <c r="L50" s="7"/>
    </row>
    <row r="51" spans="1:24" x14ac:dyDescent="0.15">
      <c r="A51" s="7" t="s">
        <v>103</v>
      </c>
      <c r="B51" s="11">
        <v>434200</v>
      </c>
      <c r="C51" s="11">
        <v>391500</v>
      </c>
      <c r="D51" s="11">
        <v>436100</v>
      </c>
      <c r="E51" s="11">
        <v>458600</v>
      </c>
      <c r="F51" s="11">
        <v>472800</v>
      </c>
      <c r="G51" s="11">
        <v>90344</v>
      </c>
      <c r="H51" s="7"/>
      <c r="I51" s="81">
        <f>(GEOMEAN(T51:X51))-1</f>
        <v>0.36885706181936162</v>
      </c>
      <c r="J51" s="80">
        <f>AVERAGE(M51:Q51)</f>
        <v>0.83220634876708455</v>
      </c>
      <c r="K51" s="81">
        <f>STDEV(M51:Q51)</f>
        <v>1.902886831311922</v>
      </c>
      <c r="L51" s="7"/>
      <c r="M51" s="13">
        <f>(B51-C51)/C51</f>
        <v>0.10906768837803321</v>
      </c>
      <c r="N51" s="13">
        <f>(C51-D51)/D51</f>
        <v>-0.10227012153175877</v>
      </c>
      <c r="O51" s="13">
        <f>(D51-E51)/E51</f>
        <v>-4.9062363715656344E-2</v>
      </c>
      <c r="P51" s="13">
        <f>(E51-F51)/F51</f>
        <v>-3.003384094754653E-2</v>
      </c>
      <c r="Q51" s="13">
        <f>(F51-G51)/G51</f>
        <v>4.2333303816523511</v>
      </c>
      <c r="R51" s="37"/>
      <c r="S51" s="37"/>
      <c r="T51" s="10">
        <f t="shared" ref="T51:X54" si="6">1+(M51)</f>
        <v>1.1090676883780333</v>
      </c>
      <c r="U51" s="10">
        <f t="shared" si="6"/>
        <v>0.89772987846824126</v>
      </c>
      <c r="V51" s="10">
        <f t="shared" si="6"/>
        <v>0.95093763628434369</v>
      </c>
      <c r="W51" s="10">
        <f t="shared" si="6"/>
        <v>0.96996615905245342</v>
      </c>
      <c r="X51" s="10">
        <f t="shared" si="6"/>
        <v>5.2333303816523511</v>
      </c>
    </row>
    <row r="52" spans="1:24" x14ac:dyDescent="0.15">
      <c r="A52" s="7" t="s">
        <v>102</v>
      </c>
      <c r="B52" s="224">
        <v>0</v>
      </c>
      <c r="C52" s="19">
        <v>0</v>
      </c>
      <c r="D52" s="18">
        <v>19800</v>
      </c>
      <c r="E52" s="18">
        <v>38800</v>
      </c>
      <c r="F52" s="18">
        <v>20000</v>
      </c>
      <c r="G52" s="18">
        <v>134421</v>
      </c>
      <c r="H52" s="7"/>
      <c r="I52" s="81">
        <v>-1</v>
      </c>
      <c r="J52" s="80">
        <f>AVERAGE(N52:Q52)</f>
        <v>-0.35022611142389465</v>
      </c>
      <c r="K52" s="81">
        <f>STDEV(N52:Q52)</f>
        <v>0.88644016349696986</v>
      </c>
      <c r="L52" s="7"/>
      <c r="M52" s="60">
        <v>0</v>
      </c>
      <c r="N52" s="60">
        <f t="shared" ref="N52:P54" si="7">(C52-D52)/D52</f>
        <v>-1</v>
      </c>
      <c r="O52" s="60">
        <f t="shared" si="7"/>
        <v>-0.48969072164948452</v>
      </c>
      <c r="P52" s="60">
        <f t="shared" si="7"/>
        <v>0.94</v>
      </c>
      <c r="Q52" s="60">
        <f>(F52-G52)/G52</f>
        <v>-0.85121372404609397</v>
      </c>
      <c r="T52" s="10">
        <f t="shared" si="6"/>
        <v>1</v>
      </c>
      <c r="U52" s="10">
        <f t="shared" si="6"/>
        <v>0</v>
      </c>
      <c r="V52" s="10">
        <f t="shared" si="6"/>
        <v>0.51030927835051543</v>
      </c>
      <c r="W52" s="10">
        <f t="shared" si="6"/>
        <v>1.94</v>
      </c>
      <c r="X52" s="10">
        <f t="shared" si="6"/>
        <v>0.14878627595390603</v>
      </c>
    </row>
    <row r="53" spans="1:24" x14ac:dyDescent="0.15">
      <c r="A53" s="43" t="s">
        <v>315</v>
      </c>
      <c r="B53" s="281">
        <f>B31+SUM(B41:B44)+SUM(B51:B52)</f>
        <v>7119500</v>
      </c>
      <c r="C53" s="103">
        <f>C31+SUM(C41:C44)+SUM(C51:C52)</f>
        <v>6643100</v>
      </c>
      <c r="D53" s="103">
        <f>D31+SUM(D41:D44)+SUM(D51:D52)</f>
        <v>7014500</v>
      </c>
      <c r="E53" s="103">
        <f>E31+SUM(E41:E44)+SUM(E51:E52)</f>
        <v>7194500</v>
      </c>
      <c r="F53" s="103">
        <f>F31+SUM(F41:F44)+SUM(F51:F52)</f>
        <v>7506500</v>
      </c>
      <c r="G53" s="103">
        <f>G30+SUM(G41:G44)+SUM(G51:G52)</f>
        <v>2745571</v>
      </c>
      <c r="H53" s="7"/>
      <c r="I53" s="81">
        <f>(GEOMEAN(T53:X53))-1</f>
        <v>0.20993868656870629</v>
      </c>
      <c r="J53" s="80">
        <f>AVERAGE(M53:Q53)</f>
        <v>0.33724452207175176</v>
      </c>
      <c r="K53" s="81">
        <f>STDEV(M53:Q53)</f>
        <v>0.78238800818030141</v>
      </c>
      <c r="L53" s="7"/>
      <c r="M53" s="60">
        <f>(B53-C53)/C53</f>
        <v>7.1713507248122116E-2</v>
      </c>
      <c r="N53" s="60">
        <f t="shared" si="7"/>
        <v>-5.2947465963361605E-2</v>
      </c>
      <c r="O53" s="60">
        <f t="shared" si="7"/>
        <v>-2.5019111821530337E-2</v>
      </c>
      <c r="P53" s="60">
        <f t="shared" si="7"/>
        <v>-4.1563977885832278E-2</v>
      </c>
      <c r="Q53" s="60">
        <f>(F53-G53)/G53</f>
        <v>1.7340396587813609</v>
      </c>
      <c r="T53" s="10">
        <f t="shared" si="6"/>
        <v>1.0717135072481221</v>
      </c>
      <c r="U53" s="10">
        <f t="shared" si="6"/>
        <v>0.94705253403663836</v>
      </c>
      <c r="V53" s="10">
        <f t="shared" si="6"/>
        <v>0.97498088817846962</v>
      </c>
      <c r="W53" s="10">
        <f t="shared" si="6"/>
        <v>0.95843602211416767</v>
      </c>
      <c r="X53" s="10">
        <f t="shared" si="6"/>
        <v>2.7340396587813611</v>
      </c>
    </row>
    <row r="54" spans="1:24" ht="14" thickBot="1" x14ac:dyDescent="0.2">
      <c r="A54" s="7" t="s">
        <v>101</v>
      </c>
      <c r="B54" s="47">
        <v>8306200</v>
      </c>
      <c r="C54" s="47">
        <v>7951200</v>
      </c>
      <c r="D54" s="47">
        <v>8408900</v>
      </c>
      <c r="E54" s="47">
        <v>8967600</v>
      </c>
      <c r="F54" s="47">
        <v>9196900</v>
      </c>
      <c r="G54" s="47">
        <v>3855508</v>
      </c>
      <c r="H54" s="7"/>
      <c r="I54" s="81">
        <f>(GEOMEAN(T54:X54))-1</f>
        <v>0.16590765855773371</v>
      </c>
      <c r="J54" s="80">
        <f>AVERAGE(M54:Q54)</f>
        <v>0.25767501581673274</v>
      </c>
      <c r="K54" s="81">
        <f>STDEV(M54:Q54)</f>
        <v>0.63182070842275251</v>
      </c>
      <c r="L54" s="7"/>
      <c r="M54" s="86">
        <f>(B54-C54)/C54</f>
        <v>4.4647348827849882E-2</v>
      </c>
      <c r="N54" s="86">
        <f t="shared" si="7"/>
        <v>-5.4430424906943831E-2</v>
      </c>
      <c r="O54" s="86">
        <f t="shared" si="7"/>
        <v>-6.2302065212542931E-2</v>
      </c>
      <c r="P54" s="86">
        <f t="shared" si="7"/>
        <v>-2.4932314149332929E-2</v>
      </c>
      <c r="Q54" s="86">
        <f>(F54-G54)/G54</f>
        <v>1.3853925345246334</v>
      </c>
      <c r="T54" s="10">
        <f t="shared" si="6"/>
        <v>1.0446473488278498</v>
      </c>
      <c r="U54" s="10">
        <f t="shared" si="6"/>
        <v>0.94556957509305617</v>
      </c>
      <c r="V54" s="10">
        <f t="shared" si="6"/>
        <v>0.93769793478745711</v>
      </c>
      <c r="W54" s="10">
        <f t="shared" si="6"/>
        <v>0.97506768585066705</v>
      </c>
      <c r="X54" s="10">
        <f t="shared" si="6"/>
        <v>2.3853925345246334</v>
      </c>
    </row>
    <row r="55" spans="1:24" ht="14" thickTop="1" x14ac:dyDescent="0.15">
      <c r="A55" s="7"/>
      <c r="B55" s="37"/>
      <c r="C55" s="11"/>
      <c r="D55" s="11"/>
      <c r="E55" s="11"/>
      <c r="F55" s="11"/>
      <c r="G55" s="11"/>
      <c r="H55" s="7"/>
      <c r="I55" s="79"/>
      <c r="J55" s="78"/>
      <c r="K55" s="79"/>
      <c r="L55" s="7"/>
      <c r="T55" s="10"/>
      <c r="U55" s="10"/>
      <c r="V55" s="10"/>
      <c r="W55" s="10"/>
      <c r="X55" s="10"/>
    </row>
    <row r="56" spans="1:24" x14ac:dyDescent="0.15">
      <c r="A56" s="7" t="s">
        <v>100</v>
      </c>
      <c r="B56" s="11">
        <v>545400</v>
      </c>
      <c r="C56" s="11">
        <v>526900</v>
      </c>
      <c r="D56" s="11">
        <v>531200</v>
      </c>
      <c r="E56" s="11">
        <v>447700</v>
      </c>
      <c r="F56" s="11">
        <v>573000</v>
      </c>
      <c r="G56" s="11">
        <v>377698</v>
      </c>
      <c r="H56" s="7"/>
      <c r="I56" s="81">
        <f>(GEOMEAN(T56:X56))-1</f>
        <v>7.6252292870393257E-2</v>
      </c>
      <c r="J56" s="80">
        <f>AVERAGE(N56:Q56)</f>
        <v>0.11920634360993804</v>
      </c>
      <c r="K56" s="81">
        <f>STDEV(N56:Q56)</f>
        <v>0.31262629512882523</v>
      </c>
      <c r="L56" s="7"/>
      <c r="M56" s="13">
        <f t="shared" ref="M56:Q58" si="8">(B56-C56)/C56</f>
        <v>3.5111026760296073E-2</v>
      </c>
      <c r="N56" s="13">
        <f t="shared" si="8"/>
        <v>-8.0948795180722892E-3</v>
      </c>
      <c r="O56" s="13">
        <f t="shared" si="8"/>
        <v>0.18650882287245923</v>
      </c>
      <c r="P56" s="13">
        <f t="shared" si="8"/>
        <v>-0.218673647469459</v>
      </c>
      <c r="Q56" s="13">
        <f t="shared" si="8"/>
        <v>0.51708507855482422</v>
      </c>
      <c r="T56" s="10">
        <f t="shared" ref="T56:X59" si="9">1+(M56)</f>
        <v>1.0351110267602961</v>
      </c>
      <c r="U56" s="10">
        <f t="shared" si="9"/>
        <v>0.99190512048192769</v>
      </c>
      <c r="V56" s="10">
        <f t="shared" si="9"/>
        <v>1.1865088228724592</v>
      </c>
      <c r="W56" s="10">
        <f t="shared" si="9"/>
        <v>0.78132635253054095</v>
      </c>
      <c r="X56" s="10">
        <f t="shared" si="9"/>
        <v>1.5170850785548242</v>
      </c>
    </row>
    <row r="57" spans="1:24" x14ac:dyDescent="0.15">
      <c r="A57" s="7" t="s">
        <v>84</v>
      </c>
      <c r="B57" s="11">
        <v>508800</v>
      </c>
      <c r="C57" s="11">
        <v>441900</v>
      </c>
      <c r="D57" s="11">
        <v>408500</v>
      </c>
      <c r="E57" s="11">
        <v>504500</v>
      </c>
      <c r="F57" s="11">
        <v>514900</v>
      </c>
      <c r="G57" s="11">
        <v>607358</v>
      </c>
      <c r="H57" s="7"/>
      <c r="I57" s="81">
        <f>(GEOMEAN(T57:X57))-1</f>
        <v>-3.4792985837917678E-2</v>
      </c>
      <c r="J57" s="80">
        <f>AVERAGE(N57:Q57)</f>
        <v>-7.0238196429877109E-2</v>
      </c>
      <c r="K57" s="81">
        <f>STDEV(N57:Q57)</f>
        <v>0.12482344640306406</v>
      </c>
      <c r="L57" s="7"/>
      <c r="M57" s="13">
        <f t="shared" si="8"/>
        <v>0.15139171758316361</v>
      </c>
      <c r="N57" s="13">
        <f t="shared" si="8"/>
        <v>8.1762545899632805E-2</v>
      </c>
      <c r="O57" s="13">
        <f t="shared" si="8"/>
        <v>-0.19028741328047571</v>
      </c>
      <c r="P57" s="13">
        <f t="shared" si="8"/>
        <v>-2.0198096717809283E-2</v>
      </c>
      <c r="Q57" s="13">
        <f t="shared" si="8"/>
        <v>-0.15222982162085624</v>
      </c>
      <c r="T57" s="10">
        <f t="shared" si="9"/>
        <v>1.1513917175831636</v>
      </c>
      <c r="U57" s="10">
        <f t="shared" si="9"/>
        <v>1.0817625458996327</v>
      </c>
      <c r="V57" s="10">
        <f t="shared" si="9"/>
        <v>0.80971258671952429</v>
      </c>
      <c r="W57" s="10">
        <f t="shared" si="9"/>
        <v>0.97980190328219074</v>
      </c>
      <c r="X57" s="10">
        <f t="shared" si="9"/>
        <v>0.84777017837914381</v>
      </c>
    </row>
    <row r="58" spans="1:24" x14ac:dyDescent="0.15">
      <c r="A58" s="7" t="s">
        <v>83</v>
      </c>
      <c r="B58" s="11">
        <v>385000</v>
      </c>
      <c r="C58" s="11">
        <v>353700</v>
      </c>
      <c r="D58" s="11">
        <v>512600</v>
      </c>
      <c r="E58" s="11">
        <v>327900</v>
      </c>
      <c r="F58" s="11">
        <v>367200</v>
      </c>
      <c r="G58" s="11">
        <v>715360</v>
      </c>
      <c r="H58" s="7"/>
      <c r="I58" s="81">
        <f>(GEOMEAN(T58:X58))-1</f>
        <v>-0.11653933998070842</v>
      </c>
      <c r="J58" s="80">
        <f>AVERAGE(N58:Q58)</f>
        <v>-8.5106241427048854E-2</v>
      </c>
      <c r="K58" s="81">
        <f>STDEV(N58:Q58)</f>
        <v>0.45924946083618851</v>
      </c>
      <c r="L58" s="7"/>
      <c r="M58" s="13">
        <f t="shared" si="8"/>
        <v>8.8493073225897653E-2</v>
      </c>
      <c r="N58" s="13">
        <f t="shared" si="8"/>
        <v>-0.30998829496683572</v>
      </c>
      <c r="O58" s="13">
        <f t="shared" si="8"/>
        <v>0.56328148825861546</v>
      </c>
      <c r="P58" s="13">
        <f t="shared" si="8"/>
        <v>-0.10702614379084967</v>
      </c>
      <c r="Q58" s="13">
        <f t="shared" si="8"/>
        <v>-0.48669201520912547</v>
      </c>
      <c r="T58" s="10">
        <f t="shared" si="9"/>
        <v>1.0884930732258977</v>
      </c>
      <c r="U58" s="10">
        <f t="shared" si="9"/>
        <v>0.69001170503316422</v>
      </c>
      <c r="V58" s="10">
        <f t="shared" si="9"/>
        <v>1.5632814882586155</v>
      </c>
      <c r="W58" s="10">
        <f t="shared" si="9"/>
        <v>0.89297385620915037</v>
      </c>
      <c r="X58" s="10">
        <f t="shared" si="9"/>
        <v>0.51330798479087458</v>
      </c>
    </row>
    <row r="59" spans="1:24" x14ac:dyDescent="0.15">
      <c r="A59" s="7" t="s">
        <v>99</v>
      </c>
      <c r="B59" s="11">
        <v>88000</v>
      </c>
      <c r="C59" s="11">
        <v>68600</v>
      </c>
      <c r="D59" s="11">
        <v>53600</v>
      </c>
      <c r="E59" s="11">
        <v>79100</v>
      </c>
      <c r="F59" s="11">
        <v>77900</v>
      </c>
      <c r="G59" s="12">
        <v>0</v>
      </c>
      <c r="H59" s="7"/>
      <c r="I59" s="81">
        <f>(GEOMEAN(T59:X59))-1</f>
        <v>-2.5340060975757472E-2</v>
      </c>
      <c r="J59" s="80">
        <f>AVERAGE(N59:Q59)</f>
        <v>-6.2127733203662494E-2</v>
      </c>
      <c r="K59" s="81">
        <f>STDEV(N59:Q59)</f>
        <v>0.26836188230681834</v>
      </c>
      <c r="L59" s="7"/>
      <c r="M59" s="13">
        <f>(B59-C59)/C59</f>
        <v>0.28279883381924198</v>
      </c>
      <c r="N59" s="13">
        <f>(C59-D59)/D59</f>
        <v>0.27985074626865669</v>
      </c>
      <c r="O59" s="13">
        <f>(D59-E59)/E59</f>
        <v>-0.32237673830594182</v>
      </c>
      <c r="P59" s="13">
        <f>(E59-F59)/F59</f>
        <v>1.540436456996149E-2</v>
      </c>
      <c r="Q59" s="13">
        <f>(F59-G60)/G60</f>
        <v>-0.22138930534732634</v>
      </c>
      <c r="T59" s="10">
        <f t="shared" si="9"/>
        <v>1.282798833819242</v>
      </c>
      <c r="U59" s="10">
        <f t="shared" si="9"/>
        <v>1.2798507462686568</v>
      </c>
      <c r="V59" s="10">
        <f t="shared" si="9"/>
        <v>0.67762326169405818</v>
      </c>
      <c r="W59" s="10">
        <f t="shared" si="9"/>
        <v>1.0154043645699615</v>
      </c>
      <c r="X59" s="10">
        <f t="shared" si="9"/>
        <v>0.77861069465267363</v>
      </c>
    </row>
    <row r="60" spans="1:24" x14ac:dyDescent="0.15">
      <c r="A60" s="7" t="s">
        <v>95</v>
      </c>
      <c r="B60" s="11">
        <v>0</v>
      </c>
      <c r="C60" s="12">
        <v>0</v>
      </c>
      <c r="D60" s="12">
        <v>0</v>
      </c>
      <c r="E60" s="12">
        <v>0</v>
      </c>
      <c r="F60" s="12">
        <v>0</v>
      </c>
      <c r="G60" s="11">
        <v>100050</v>
      </c>
      <c r="H60" s="7"/>
      <c r="I60" s="79"/>
      <c r="J60" s="78"/>
      <c r="K60" s="79"/>
      <c r="L60" s="7"/>
      <c r="T60" s="10"/>
      <c r="U60" s="10"/>
      <c r="V60" s="10"/>
      <c r="W60" s="10"/>
      <c r="X60" s="10"/>
    </row>
    <row r="61" spans="1:24" x14ac:dyDescent="0.15">
      <c r="A61" s="7" t="s">
        <v>81</v>
      </c>
      <c r="B61" s="11">
        <v>0</v>
      </c>
      <c r="C61" s="12">
        <v>0</v>
      </c>
      <c r="D61" s="12">
        <v>0</v>
      </c>
      <c r="E61" s="11">
        <v>869300</v>
      </c>
      <c r="F61" s="12">
        <v>0</v>
      </c>
      <c r="G61" s="12">
        <v>0</v>
      </c>
      <c r="H61" s="7"/>
      <c r="I61" s="79"/>
      <c r="J61" s="78"/>
      <c r="K61" s="79"/>
      <c r="L61" s="7"/>
      <c r="T61" s="10"/>
      <c r="U61" s="10"/>
      <c r="V61" s="10"/>
      <c r="W61" s="10"/>
      <c r="X61" s="10"/>
    </row>
    <row r="62" spans="1:24" x14ac:dyDescent="0.15">
      <c r="A62" s="7" t="s">
        <v>80</v>
      </c>
      <c r="B62" s="18">
        <v>165700</v>
      </c>
      <c r="C62" s="18">
        <v>116600</v>
      </c>
      <c r="D62" s="18">
        <v>146500</v>
      </c>
      <c r="E62" s="18">
        <v>183900</v>
      </c>
      <c r="F62" s="18">
        <v>156900</v>
      </c>
      <c r="G62" s="18">
        <v>328244</v>
      </c>
      <c r="H62" s="7"/>
      <c r="I62" s="81">
        <f>(GEOMEAN(T62:X62))-1</f>
        <v>-0.12778180431658359</v>
      </c>
      <c r="J62" s="80">
        <f>AVERAGE(M62:Q62)</f>
        <v>-6.7257397172407724E-2</v>
      </c>
      <c r="K62" s="81">
        <f>STDEV(M62:Q62)</f>
        <v>0.36736202402857271</v>
      </c>
      <c r="L62" s="7"/>
      <c r="M62" s="60">
        <f t="shared" ref="M62:Q63" si="10">(B62-C62)/C62</f>
        <v>0.42109777015437394</v>
      </c>
      <c r="N62" s="60">
        <f t="shared" si="10"/>
        <v>-0.20409556313993174</v>
      </c>
      <c r="O62" s="60">
        <f t="shared" si="10"/>
        <v>-0.20337139749864055</v>
      </c>
      <c r="P62" s="60">
        <f t="shared" si="10"/>
        <v>0.17208413001912046</v>
      </c>
      <c r="Q62" s="60">
        <f t="shared" si="10"/>
        <v>-0.52200192539696078</v>
      </c>
      <c r="T62" s="10">
        <f t="shared" ref="T62:X63" si="11">1+(M62)</f>
        <v>1.4210977701543739</v>
      </c>
      <c r="U62" s="10">
        <f t="shared" si="11"/>
        <v>0.79590443686006829</v>
      </c>
      <c r="V62" s="10">
        <f t="shared" si="11"/>
        <v>0.79662860250135947</v>
      </c>
      <c r="W62" s="10">
        <f t="shared" si="11"/>
        <v>1.1720841300191205</v>
      </c>
      <c r="X62" s="10">
        <f t="shared" si="11"/>
        <v>0.47799807460303922</v>
      </c>
    </row>
    <row r="63" spans="1:24" x14ac:dyDescent="0.15">
      <c r="A63" s="7" t="s">
        <v>98</v>
      </c>
      <c r="B63" s="11">
        <v>1692900</v>
      </c>
      <c r="C63" s="11">
        <v>1507700</v>
      </c>
      <c r="D63" s="11">
        <v>1652400</v>
      </c>
      <c r="E63" s="11">
        <v>2412400</v>
      </c>
      <c r="F63" s="11">
        <v>1689900</v>
      </c>
      <c r="G63" s="12">
        <f>SUM(G56:G62)</f>
        <v>2128710</v>
      </c>
      <c r="H63" s="21"/>
      <c r="I63" s="81">
        <f>(GEOMEAN(T63:X63))-1</f>
        <v>-4.478098102753203E-2</v>
      </c>
      <c r="J63" s="80">
        <f>AVERAGE(M63:Q63)</f>
        <v>-1.1674258237439861E-2</v>
      </c>
      <c r="K63" s="81">
        <f>STDEV(M63:Q63)</f>
        <v>0.29436755907360679</v>
      </c>
      <c r="L63" s="21"/>
      <c r="M63" s="13">
        <f t="shared" si="10"/>
        <v>0.12283610797904092</v>
      </c>
      <c r="N63" s="13">
        <f t="shared" si="10"/>
        <v>-8.7569595739530381E-2</v>
      </c>
      <c r="O63" s="13">
        <f t="shared" si="10"/>
        <v>-0.3150389653457138</v>
      </c>
      <c r="P63" s="13">
        <f t="shared" si="10"/>
        <v>0.42754009112965263</v>
      </c>
      <c r="Q63" s="13">
        <f t="shared" si="10"/>
        <v>-0.20613892921064869</v>
      </c>
      <c r="T63" s="10">
        <f t="shared" si="11"/>
        <v>1.122836107979041</v>
      </c>
      <c r="U63" s="10">
        <f t="shared" si="11"/>
        <v>0.91243040426046962</v>
      </c>
      <c r="V63" s="10">
        <f t="shared" si="11"/>
        <v>0.68496103465428626</v>
      </c>
      <c r="W63" s="10">
        <f t="shared" si="11"/>
        <v>1.4275400911296527</v>
      </c>
      <c r="X63" s="10">
        <f t="shared" si="11"/>
        <v>0.79386107078935131</v>
      </c>
    </row>
    <row r="64" spans="1:24" x14ac:dyDescent="0.15">
      <c r="A64" s="7"/>
      <c r="B64" s="37"/>
      <c r="C64" s="11"/>
      <c r="D64" s="11"/>
      <c r="E64" s="11"/>
      <c r="F64" s="11"/>
      <c r="G64" s="12"/>
      <c r="H64" s="7"/>
      <c r="I64" s="79"/>
      <c r="J64" s="78"/>
      <c r="K64" s="79"/>
      <c r="L64" s="7"/>
    </row>
    <row r="65" spans="1:24" x14ac:dyDescent="0.15">
      <c r="A65" s="7" t="s">
        <v>94</v>
      </c>
      <c r="B65" s="12">
        <v>0</v>
      </c>
      <c r="C65" s="12">
        <v>0</v>
      </c>
      <c r="D65" s="12">
        <v>0</v>
      </c>
      <c r="E65" s="12">
        <v>0</v>
      </c>
      <c r="F65" s="11">
        <v>57700</v>
      </c>
      <c r="G65" s="12">
        <v>0</v>
      </c>
      <c r="H65" s="7"/>
      <c r="I65" s="79"/>
      <c r="J65" s="78"/>
      <c r="K65" s="79"/>
      <c r="L65" s="7"/>
    </row>
    <row r="66" spans="1:24" x14ac:dyDescent="0.15">
      <c r="A66" s="7" t="s">
        <v>86</v>
      </c>
      <c r="B66" s="11">
        <v>1612600</v>
      </c>
      <c r="C66" s="11">
        <v>1677600</v>
      </c>
      <c r="D66" s="11">
        <v>1857500</v>
      </c>
      <c r="E66" s="11">
        <v>2000000</v>
      </c>
      <c r="F66" s="11">
        <v>2587500</v>
      </c>
      <c r="G66" s="12">
        <v>0</v>
      </c>
      <c r="H66" s="7"/>
      <c r="I66" s="81">
        <f>(GEOMEAN(T66:W66))-1</f>
        <v>-0.11149152584041155</v>
      </c>
      <c r="J66" s="80">
        <f>AVERAGE(M66:P66)</f>
        <v>-0.10847489328045357</v>
      </c>
      <c r="K66" s="81">
        <f>STDEV(M66:P66)</f>
        <v>8.2550509776322972E-2</v>
      </c>
      <c r="L66" s="7"/>
      <c r="M66" s="13">
        <f t="shared" ref="M66:P68" si="12">(B66-C66)/C66</f>
        <v>-3.8745827372436814E-2</v>
      </c>
      <c r="N66" s="13">
        <f t="shared" si="12"/>
        <v>-9.6850605652759089E-2</v>
      </c>
      <c r="O66" s="13">
        <f t="shared" si="12"/>
        <v>-7.1249999999999994E-2</v>
      </c>
      <c r="P66" s="13">
        <f t="shared" si="12"/>
        <v>-0.22705314009661837</v>
      </c>
      <c r="Q66" s="13">
        <v>1</v>
      </c>
      <c r="T66" s="10">
        <f t="shared" ref="T66:X68" si="13">1+(M66)</f>
        <v>0.96125417262756319</v>
      </c>
      <c r="U66" s="10">
        <f t="shared" si="13"/>
        <v>0.90314939434724095</v>
      </c>
      <c r="V66" s="10">
        <f t="shared" si="13"/>
        <v>0.92874999999999996</v>
      </c>
      <c r="W66" s="10">
        <f t="shared" si="13"/>
        <v>0.77294685990338163</v>
      </c>
      <c r="X66" s="10">
        <f t="shared" si="13"/>
        <v>2</v>
      </c>
    </row>
    <row r="67" spans="1:24" x14ac:dyDescent="0.15">
      <c r="A67" s="7" t="s">
        <v>97</v>
      </c>
      <c r="B67" s="18">
        <v>1064300</v>
      </c>
      <c r="C67" s="18">
        <v>1064300</v>
      </c>
      <c r="D67" s="18">
        <v>1070000</v>
      </c>
      <c r="E67" s="18">
        <v>520000</v>
      </c>
      <c r="F67" s="18">
        <v>520000</v>
      </c>
      <c r="G67" s="19">
        <v>0</v>
      </c>
      <c r="H67" s="7"/>
      <c r="I67" s="81">
        <f>(GEOMEAN(T67:W67))-1</f>
        <v>0.1960936359212011</v>
      </c>
      <c r="J67" s="80">
        <f>AVERAGE(M67:P67)</f>
        <v>0.26309130122214236</v>
      </c>
      <c r="K67" s="81">
        <f>STDEV(M67:P67)</f>
        <v>0.52973995653865258</v>
      </c>
      <c r="L67" s="7"/>
      <c r="M67" s="60">
        <f t="shared" si="12"/>
        <v>0</v>
      </c>
      <c r="N67" s="60">
        <f t="shared" si="12"/>
        <v>-5.3271028037383174E-3</v>
      </c>
      <c r="O67" s="60">
        <f t="shared" si="12"/>
        <v>1.0576923076923077</v>
      </c>
      <c r="P67" s="60">
        <f t="shared" si="12"/>
        <v>0</v>
      </c>
      <c r="Q67" s="60">
        <v>1</v>
      </c>
      <c r="T67" s="10">
        <f t="shared" si="13"/>
        <v>1</v>
      </c>
      <c r="U67" s="10">
        <f t="shared" si="13"/>
        <v>0.99467289719626173</v>
      </c>
      <c r="V67" s="10">
        <f t="shared" si="13"/>
        <v>2.0576923076923075</v>
      </c>
      <c r="W67" s="10">
        <f t="shared" si="13"/>
        <v>1</v>
      </c>
      <c r="X67" s="10">
        <f t="shared" si="13"/>
        <v>2</v>
      </c>
    </row>
    <row r="68" spans="1:24" x14ac:dyDescent="0.15">
      <c r="A68" s="7" t="s">
        <v>96</v>
      </c>
      <c r="B68" s="11">
        <v>2676900</v>
      </c>
      <c r="C68" s="11">
        <v>2741900</v>
      </c>
      <c r="D68" s="11">
        <v>2927500</v>
      </c>
      <c r="E68" s="11">
        <v>2520000</v>
      </c>
      <c r="F68" s="11">
        <v>3107500</v>
      </c>
      <c r="G68" s="12">
        <v>0</v>
      </c>
      <c r="H68" s="7"/>
      <c r="I68" s="81">
        <f>(GEOMEAN(T68:W68))-1</f>
        <v>-3.6603082072216742E-2</v>
      </c>
      <c r="J68" s="80">
        <f>AVERAGE(M68:P68)</f>
        <v>-2.8614343313738948E-2</v>
      </c>
      <c r="K68" s="81">
        <f>STDEV(M68:P68)</f>
        <v>0.14514178765941474</v>
      </c>
      <c r="L68" s="7"/>
      <c r="M68" s="58">
        <f t="shared" si="12"/>
        <v>-2.3706189138918268E-2</v>
      </c>
      <c r="N68" s="58">
        <f t="shared" si="12"/>
        <v>-6.339880444064902E-2</v>
      </c>
      <c r="O68" s="58">
        <f t="shared" si="12"/>
        <v>0.16170634920634921</v>
      </c>
      <c r="P68" s="58">
        <f t="shared" si="12"/>
        <v>-0.18905872888173772</v>
      </c>
      <c r="Q68" s="58">
        <v>1</v>
      </c>
      <c r="T68" s="10">
        <f t="shared" si="13"/>
        <v>0.97629381086108169</v>
      </c>
      <c r="U68" s="10">
        <f t="shared" si="13"/>
        <v>0.93660119555935095</v>
      </c>
      <c r="V68" s="10">
        <f t="shared" si="13"/>
        <v>1.1617063492063493</v>
      </c>
      <c r="W68" s="10">
        <f t="shared" si="13"/>
        <v>0.81094127111826231</v>
      </c>
      <c r="X68" s="10">
        <f t="shared" si="13"/>
        <v>2</v>
      </c>
    </row>
    <row r="69" spans="1:24" x14ac:dyDescent="0.15">
      <c r="A69" s="7" t="s">
        <v>95</v>
      </c>
      <c r="B69" s="37"/>
      <c r="C69" s="12">
        <v>0</v>
      </c>
      <c r="D69" s="12">
        <v>0</v>
      </c>
      <c r="E69" s="11">
        <v>60000</v>
      </c>
      <c r="F69" s="11">
        <v>60000</v>
      </c>
      <c r="G69" s="12">
        <v>0</v>
      </c>
      <c r="H69" s="7"/>
      <c r="I69" s="79"/>
      <c r="J69" s="78"/>
      <c r="K69" s="79"/>
      <c r="L69" s="7"/>
    </row>
    <row r="70" spans="1:24" x14ac:dyDescent="0.15">
      <c r="A70" s="7" t="s">
        <v>94</v>
      </c>
      <c r="B70" s="12">
        <v>0</v>
      </c>
      <c r="C70" s="12">
        <v>0</v>
      </c>
      <c r="D70" s="11">
        <v>45400</v>
      </c>
      <c r="E70" s="11">
        <v>50500</v>
      </c>
      <c r="F70" s="12">
        <v>0</v>
      </c>
      <c r="G70" s="12">
        <v>0</v>
      </c>
      <c r="H70" s="7"/>
      <c r="I70" s="79"/>
      <c r="J70" s="78"/>
      <c r="K70" s="79"/>
      <c r="L70" s="7"/>
    </row>
    <row r="71" spans="1:24" x14ac:dyDescent="0.15">
      <c r="A71" s="7" t="s">
        <v>93</v>
      </c>
      <c r="B71" s="224">
        <v>0</v>
      </c>
      <c r="C71" s="18">
        <v>42400</v>
      </c>
      <c r="D71" s="44">
        <v>0</v>
      </c>
      <c r="E71" s="19">
        <v>0</v>
      </c>
      <c r="F71" s="19">
        <v>0</v>
      </c>
      <c r="G71" s="19">
        <v>0</v>
      </c>
      <c r="H71" s="7"/>
      <c r="I71" s="79"/>
      <c r="J71" s="78"/>
      <c r="K71" s="79"/>
      <c r="L71" s="7"/>
      <c r="M71" s="66"/>
      <c r="N71" s="66"/>
      <c r="O71" s="66"/>
      <c r="P71" s="66"/>
      <c r="Q71" s="66"/>
    </row>
    <row r="72" spans="1:24" x14ac:dyDescent="0.15">
      <c r="A72" s="7" t="s">
        <v>92</v>
      </c>
      <c r="B72" s="11">
        <v>2676900</v>
      </c>
      <c r="C72" s="11">
        <v>2784300</v>
      </c>
      <c r="D72" s="11">
        <v>2972900</v>
      </c>
      <c r="E72" s="11">
        <v>2630500</v>
      </c>
      <c r="F72" s="11">
        <v>3225200</v>
      </c>
      <c r="G72" s="12">
        <v>0</v>
      </c>
      <c r="H72" s="7"/>
      <c r="I72" s="81">
        <f>(GEOMEAN(T72:W72))-1</f>
        <v>-4.5515513355584902E-2</v>
      </c>
      <c r="J72" s="80">
        <f>AVERAGE(M72:P72)</f>
        <v>-3.905986659877022E-2</v>
      </c>
      <c r="K72" s="81">
        <f>STDEV(N72:P72)</f>
        <v>0.15867074568363415</v>
      </c>
      <c r="L72" s="7"/>
      <c r="M72" s="13">
        <f>(B72-C72)/C72</f>
        <v>-3.8573429587328949E-2</v>
      </c>
      <c r="N72" s="13">
        <f>(C72-D72)/D72</f>
        <v>-6.343973897541122E-2</v>
      </c>
      <c r="O72" s="13">
        <f>(D72-E72)/E72</f>
        <v>0.13016536780079832</v>
      </c>
      <c r="P72" s="13">
        <f>(E72-F72)/F72</f>
        <v>-0.18439166563313902</v>
      </c>
      <c r="Q72" s="13">
        <v>1</v>
      </c>
      <c r="T72" s="10">
        <f>1+(M72)</f>
        <v>0.9614265704126711</v>
      </c>
      <c r="U72" s="10">
        <f>1+(N72)</f>
        <v>0.93656026102458878</v>
      </c>
      <c r="V72" s="10">
        <f>1+(O72)</f>
        <v>1.1301653678007983</v>
      </c>
      <c r="W72" s="10">
        <f>1+(P72)</f>
        <v>0.81560833436686098</v>
      </c>
      <c r="X72" s="10">
        <f>1+(Q72)</f>
        <v>2</v>
      </c>
    </row>
    <row r="73" spans="1:24" x14ac:dyDescent="0.15">
      <c r="A73" s="7" t="s">
        <v>91</v>
      </c>
      <c r="B73" s="18">
        <v>-46000</v>
      </c>
      <c r="C73" s="18">
        <v>-51300</v>
      </c>
      <c r="D73" s="18">
        <v>-68500</v>
      </c>
      <c r="E73" s="18">
        <v>-73100</v>
      </c>
      <c r="F73" s="18">
        <v>-100300</v>
      </c>
      <c r="G73" s="19">
        <v>0</v>
      </c>
      <c r="H73" s="7"/>
      <c r="I73" s="79"/>
      <c r="J73" s="78"/>
      <c r="K73" s="79"/>
      <c r="L73" s="7"/>
      <c r="M73" s="60"/>
      <c r="N73" s="60"/>
      <c r="O73" s="60"/>
      <c r="P73" s="60"/>
      <c r="Q73" s="60"/>
      <c r="T73" s="10"/>
      <c r="U73" s="10"/>
      <c r="V73" s="10"/>
      <c r="W73" s="10"/>
      <c r="X73" s="10"/>
    </row>
    <row r="74" spans="1:24" x14ac:dyDescent="0.15">
      <c r="A74" s="7" t="s">
        <v>90</v>
      </c>
      <c r="B74" s="11">
        <v>2630900</v>
      </c>
      <c r="C74" s="11">
        <v>2733000</v>
      </c>
      <c r="D74" s="11">
        <v>2904400</v>
      </c>
      <c r="E74" s="11">
        <v>2557400</v>
      </c>
      <c r="F74" s="11">
        <v>3124900</v>
      </c>
      <c r="G74" s="12">
        <v>0</v>
      </c>
      <c r="H74" s="7"/>
      <c r="I74" s="81">
        <f>(GEOMEAN(T74:W74))-1</f>
        <v>-4.2106879452458945E-2</v>
      </c>
      <c r="J74" s="80">
        <f>AVERAGE(M74:P74)</f>
        <v>-3.5573313994811076E-2</v>
      </c>
      <c r="K74" s="81">
        <f>STDEV(N74:P74)</f>
        <v>0.16000498476306912</v>
      </c>
      <c r="L74" s="7"/>
      <c r="M74" s="13">
        <f>(B74-C74)/C74</f>
        <v>-3.7358214416392241E-2</v>
      </c>
      <c r="N74" s="13">
        <f>(C74-D74)/D74</f>
        <v>-5.9013909929761743E-2</v>
      </c>
      <c r="O74" s="13">
        <f>(D74-E74)/E74</f>
        <v>0.13568467975287402</v>
      </c>
      <c r="P74" s="13">
        <f>(E74-F74)/F74</f>
        <v>-0.18160581138596435</v>
      </c>
      <c r="Q74" s="13">
        <v>1</v>
      </c>
      <c r="T74" s="10">
        <f>1+(M74)</f>
        <v>0.9626417855836078</v>
      </c>
      <c r="U74" s="10">
        <f>1+(N74)</f>
        <v>0.94098609007023826</v>
      </c>
      <c r="V74" s="10">
        <f>1+(O74)</f>
        <v>1.1356846797528739</v>
      </c>
      <c r="W74" s="10">
        <f>1+(P74)</f>
        <v>0.81839418861403568</v>
      </c>
      <c r="X74" s="10">
        <f>1+(Q74)</f>
        <v>2</v>
      </c>
    </row>
    <row r="75" spans="1:24" x14ac:dyDescent="0.15">
      <c r="A75" s="7" t="s">
        <v>89</v>
      </c>
      <c r="B75" s="18">
        <v>88000</v>
      </c>
      <c r="C75" s="18">
        <v>68600</v>
      </c>
      <c r="D75" s="18">
        <v>53600</v>
      </c>
      <c r="E75" s="18">
        <v>79100</v>
      </c>
      <c r="F75" s="18">
        <v>77900</v>
      </c>
      <c r="G75" s="19">
        <v>0</v>
      </c>
      <c r="H75" s="7"/>
      <c r="I75" s="79"/>
      <c r="J75" s="78"/>
      <c r="K75" s="79"/>
      <c r="L75" s="7"/>
      <c r="M75" s="66"/>
      <c r="N75" s="66"/>
      <c r="O75" s="66"/>
      <c r="P75" s="66"/>
      <c r="Q75" s="66"/>
      <c r="T75" s="10"/>
      <c r="U75" s="10"/>
      <c r="V75" s="10"/>
      <c r="W75" s="10"/>
      <c r="X75" s="10"/>
    </row>
    <row r="76" spans="1:24" x14ac:dyDescent="0.15">
      <c r="A76" s="7" t="s">
        <v>88</v>
      </c>
      <c r="B76" s="11">
        <v>2542900</v>
      </c>
      <c r="C76" s="11">
        <v>2664400</v>
      </c>
      <c r="D76" s="11">
        <v>2850800</v>
      </c>
      <c r="E76" s="11">
        <v>2478300</v>
      </c>
      <c r="F76" s="11">
        <v>3047000</v>
      </c>
      <c r="G76" s="12">
        <v>0</v>
      </c>
      <c r="H76" s="7"/>
      <c r="I76" s="81">
        <f>(GEOMEAN(T76:W76))-1</f>
        <v>-4.4206204703224672E-2</v>
      </c>
      <c r="J76" s="80">
        <f>AVERAGE(M76:P76)</f>
        <v>-3.6831092770363477E-2</v>
      </c>
      <c r="K76" s="81">
        <f>STDEV(N76:P76)</f>
        <v>0.1706648285832057</v>
      </c>
      <c r="L76" s="7"/>
      <c r="M76" s="13">
        <f>(B76-C76)/C76</f>
        <v>-4.5601261071911127E-2</v>
      </c>
      <c r="N76" s="13">
        <f>(C76-D76)/D76</f>
        <v>-6.5385155044198118E-2</v>
      </c>
      <c r="O76" s="13">
        <f>(D76-E76)/E76</f>
        <v>0.15030464431263366</v>
      </c>
      <c r="P76" s="13">
        <f>(E76-F76)/F76</f>
        <v>-0.18664259927797833</v>
      </c>
      <c r="Q76" s="13">
        <v>1</v>
      </c>
      <c r="T76" s="10">
        <f>1+(M76)</f>
        <v>0.95439873892808891</v>
      </c>
      <c r="U76" s="10">
        <f>1+(N76)</f>
        <v>0.93461484495580183</v>
      </c>
      <c r="V76" s="10">
        <f>1+(O76)</f>
        <v>1.1503046443126337</v>
      </c>
      <c r="W76" s="10">
        <f>1+(P76)</f>
        <v>0.81335740072202167</v>
      </c>
      <c r="X76" s="10">
        <f>1+(Q76)</f>
        <v>2</v>
      </c>
    </row>
    <row r="77" spans="1:24" x14ac:dyDescent="0.15">
      <c r="A77" s="7" t="s">
        <v>87</v>
      </c>
      <c r="B77" s="12">
        <v>0</v>
      </c>
      <c r="C77" s="12">
        <v>0</v>
      </c>
      <c r="D77" s="12">
        <v>0</v>
      </c>
      <c r="E77" s="12">
        <v>0</v>
      </c>
      <c r="F77" s="12">
        <v>0</v>
      </c>
      <c r="G77" s="11">
        <v>161000</v>
      </c>
      <c r="H77" s="7"/>
      <c r="I77" s="79"/>
      <c r="J77" s="78"/>
      <c r="K77" s="79"/>
      <c r="L77" s="7"/>
      <c r="M77" s="37"/>
      <c r="N77" s="37"/>
    </row>
    <row r="78" spans="1:24" x14ac:dyDescent="0.15">
      <c r="A78" s="7" t="s">
        <v>86</v>
      </c>
      <c r="B78" s="12">
        <v>0</v>
      </c>
      <c r="C78" s="12">
        <v>0</v>
      </c>
      <c r="D78" s="12">
        <v>0</v>
      </c>
      <c r="E78" s="12">
        <v>0</v>
      </c>
      <c r="F78" s="12">
        <v>0</v>
      </c>
      <c r="G78" s="11">
        <v>400000</v>
      </c>
      <c r="H78" s="7"/>
      <c r="I78" s="79"/>
      <c r="J78" s="78"/>
      <c r="K78" s="79"/>
      <c r="L78" s="7"/>
    </row>
    <row r="79" spans="1:24" x14ac:dyDescent="0.15">
      <c r="A79" s="7" t="s">
        <v>85</v>
      </c>
      <c r="B79" s="11">
        <v>0</v>
      </c>
      <c r="C79" s="12">
        <v>0</v>
      </c>
      <c r="D79" s="12">
        <v>0</v>
      </c>
      <c r="E79" s="12">
        <v>0</v>
      </c>
      <c r="F79" s="12">
        <v>0</v>
      </c>
      <c r="G79" s="11">
        <v>225000</v>
      </c>
      <c r="H79" s="7"/>
      <c r="I79" s="79"/>
      <c r="J79" s="78"/>
      <c r="K79" s="79"/>
      <c r="L79" s="7"/>
    </row>
    <row r="80" spans="1:24" x14ac:dyDescent="0.15">
      <c r="A80" s="7" t="s">
        <v>84</v>
      </c>
      <c r="B80" s="11">
        <v>304600</v>
      </c>
      <c r="C80" s="11">
        <v>421600</v>
      </c>
      <c r="D80" s="11">
        <v>479800</v>
      </c>
      <c r="E80" s="11">
        <v>438300</v>
      </c>
      <c r="F80" s="11">
        <v>359700</v>
      </c>
      <c r="G80" s="12">
        <v>0</v>
      </c>
      <c r="H80" s="7"/>
      <c r="I80" s="81">
        <f>(GEOMEAN(T80:W80))-1</f>
        <v>-4.0715636848093095E-2</v>
      </c>
      <c r="J80" s="80">
        <f>AVERAGE(M80:P80)</f>
        <v>-2.1403834369646033E-2</v>
      </c>
      <c r="K80" s="81">
        <f>STDEV(M80:P80)</f>
        <v>0.22106524500780653</v>
      </c>
      <c r="L80" s="7"/>
      <c r="M80" s="13">
        <f t="shared" ref="M80:P82" si="14">(B80-C80)/C80</f>
        <v>-0.27751423149905124</v>
      </c>
      <c r="N80" s="13">
        <f t="shared" si="14"/>
        <v>-0.12130054189245519</v>
      </c>
      <c r="O80" s="13">
        <f t="shared" si="14"/>
        <v>9.4684006388318503E-2</v>
      </c>
      <c r="P80" s="13">
        <f t="shared" si="14"/>
        <v>0.21851542952460384</v>
      </c>
      <c r="Q80" s="13">
        <v>1</v>
      </c>
      <c r="T80" s="10">
        <f t="shared" ref="T80:U82" si="15">1+(M80)</f>
        <v>0.7224857685009487</v>
      </c>
      <c r="U80" s="10">
        <f t="shared" si="15"/>
        <v>0.8786994581075448</v>
      </c>
      <c r="V80" s="10">
        <f t="shared" ref="V80:W82" si="16">1+(O80)</f>
        <v>1.0946840063883185</v>
      </c>
      <c r="W80" s="10">
        <f t="shared" si="16"/>
        <v>1.2185154295246039</v>
      </c>
    </row>
    <row r="81" spans="1:24" x14ac:dyDescent="0.15">
      <c r="A81" s="7" t="s">
        <v>83</v>
      </c>
      <c r="B81" s="11">
        <v>318500</v>
      </c>
      <c r="C81" s="11">
        <v>96900</v>
      </c>
      <c r="D81" s="11">
        <v>143100</v>
      </c>
      <c r="E81" s="11">
        <v>171300</v>
      </c>
      <c r="F81" s="11">
        <v>116000</v>
      </c>
      <c r="G81" s="12">
        <v>0</v>
      </c>
      <c r="H81" s="7"/>
      <c r="I81" s="81">
        <f>(GEOMEAN(T81:W81))-1</f>
        <v>0.28724988547639718</v>
      </c>
      <c r="J81" s="80">
        <f>AVERAGE(M81:P81)</f>
        <v>0.56903580553521571</v>
      </c>
      <c r="K81" s="81">
        <f>STDEV(M81:P81)</f>
        <v>1.1962825031669122</v>
      </c>
      <c r="L81" s="7"/>
      <c r="M81" s="13">
        <f t="shared" si="14"/>
        <v>2.2868937048503613</v>
      </c>
      <c r="N81" s="13">
        <f t="shared" si="14"/>
        <v>-0.32285115303983231</v>
      </c>
      <c r="O81" s="13">
        <f t="shared" si="14"/>
        <v>-0.16462346760070051</v>
      </c>
      <c r="P81" s="13">
        <f t="shared" si="14"/>
        <v>0.47672413793103446</v>
      </c>
      <c r="T81" s="10">
        <f t="shared" si="15"/>
        <v>3.2868937048503613</v>
      </c>
      <c r="U81" s="10">
        <f t="shared" si="15"/>
        <v>0.67714884696016764</v>
      </c>
      <c r="V81" s="10">
        <f t="shared" si="16"/>
        <v>0.83537653239929943</v>
      </c>
      <c r="W81" s="10">
        <f t="shared" si="16"/>
        <v>1.4767241379310345</v>
      </c>
    </row>
    <row r="82" spans="1:24" x14ac:dyDescent="0.15">
      <c r="A82" s="7" t="s">
        <v>82</v>
      </c>
      <c r="B82" s="11">
        <v>337100</v>
      </c>
      <c r="C82" s="11">
        <v>334900</v>
      </c>
      <c r="D82" s="11">
        <v>114000</v>
      </c>
      <c r="E82" s="11">
        <v>46400</v>
      </c>
      <c r="F82" s="11">
        <v>50300</v>
      </c>
      <c r="G82" s="12">
        <v>0</v>
      </c>
      <c r="H82" s="7"/>
      <c r="I82" s="81">
        <f>(GEOMEAN(T82:W82))-1</f>
        <v>0.60896905644934463</v>
      </c>
      <c r="J82" s="80">
        <f>AVERAGE(M82:P82)</f>
        <v>0.83091254595731001</v>
      </c>
      <c r="K82" s="81">
        <f>STDEV(M82:P82)</f>
        <v>1.0200810102407596</v>
      </c>
      <c r="L82" s="7"/>
      <c r="M82" s="13">
        <f t="shared" si="14"/>
        <v>6.5691251119737231E-3</v>
      </c>
      <c r="N82" s="13">
        <f t="shared" si="14"/>
        <v>1.937719298245614</v>
      </c>
      <c r="O82" s="13">
        <f t="shared" si="14"/>
        <v>1.4568965517241379</v>
      </c>
      <c r="P82" s="13">
        <f t="shared" si="14"/>
        <v>-7.7534791252485094E-2</v>
      </c>
      <c r="T82" s="10">
        <f t="shared" si="15"/>
        <v>1.0065691251119737</v>
      </c>
      <c r="U82" s="10">
        <f t="shared" si="15"/>
        <v>2.937719298245614</v>
      </c>
      <c r="V82" s="10">
        <f t="shared" si="16"/>
        <v>2.4568965517241379</v>
      </c>
      <c r="W82" s="10">
        <f t="shared" si="16"/>
        <v>0.92246520874751492</v>
      </c>
    </row>
    <row r="83" spans="1:24" x14ac:dyDescent="0.15">
      <c r="A83" s="7" t="s">
        <v>81</v>
      </c>
      <c r="B83" s="11">
        <v>0</v>
      </c>
      <c r="C83" s="12">
        <v>0</v>
      </c>
      <c r="D83" s="12">
        <v>0</v>
      </c>
      <c r="E83" s="12">
        <v>0</v>
      </c>
      <c r="F83" s="11">
        <v>812900</v>
      </c>
      <c r="G83" s="12">
        <v>0</v>
      </c>
      <c r="H83" s="7"/>
      <c r="I83" s="79"/>
      <c r="J83" s="78"/>
      <c r="K83" s="79"/>
      <c r="L83" s="7"/>
      <c r="T83" s="10"/>
      <c r="U83" s="10"/>
    </row>
    <row r="84" spans="1:24" x14ac:dyDescent="0.15">
      <c r="A84" s="7" t="s">
        <v>80</v>
      </c>
      <c r="B84" s="11">
        <v>56200</v>
      </c>
      <c r="C84" s="11">
        <v>61300</v>
      </c>
      <c r="D84" s="11">
        <v>62800</v>
      </c>
      <c r="E84" s="11">
        <v>70300</v>
      </c>
      <c r="F84" s="11">
        <v>72700</v>
      </c>
      <c r="G84" s="12">
        <v>0</v>
      </c>
      <c r="H84" s="7"/>
      <c r="I84" s="81">
        <f>(GEOMEAN(T84:W84))-1</f>
        <v>-6.2329017946580634E-2</v>
      </c>
      <c r="J84" s="80">
        <f>AVERAGE(M84:P84)</f>
        <v>-6.1695188212016805E-2</v>
      </c>
      <c r="K84" s="81">
        <f>STDEV(M84:P84)</f>
        <v>3.9744065167637913E-2</v>
      </c>
      <c r="L84" s="7"/>
      <c r="M84" s="13">
        <f t="shared" ref="M84:P86" si="17">(B84-C84)/C84</f>
        <v>-8.3197389885807507E-2</v>
      </c>
      <c r="N84" s="13">
        <f t="shared" si="17"/>
        <v>-2.3885350318471339E-2</v>
      </c>
      <c r="O84" s="13">
        <f t="shared" si="17"/>
        <v>-0.10668563300142248</v>
      </c>
      <c r="P84" s="13">
        <f t="shared" si="17"/>
        <v>-3.3012379642365884E-2</v>
      </c>
      <c r="Q84" s="13">
        <v>1</v>
      </c>
      <c r="T84" s="10">
        <f t="shared" ref="T84:U86" si="18">1+(M84)</f>
        <v>0.91680261011419251</v>
      </c>
      <c r="U84" s="10">
        <f t="shared" si="18"/>
        <v>0.97611464968152861</v>
      </c>
      <c r="V84" s="10">
        <f t="shared" ref="V84:W86" si="19">1+(O84)</f>
        <v>0.89331436699857747</v>
      </c>
      <c r="W84" s="10">
        <f t="shared" si="19"/>
        <v>0.96698762035763408</v>
      </c>
    </row>
    <row r="85" spans="1:24" x14ac:dyDescent="0.15">
      <c r="A85" s="7" t="s">
        <v>79</v>
      </c>
      <c r="B85" s="18">
        <v>40300</v>
      </c>
      <c r="C85" s="18">
        <v>36600</v>
      </c>
      <c r="D85" s="18">
        <v>56500</v>
      </c>
      <c r="E85" s="18">
        <v>91900</v>
      </c>
      <c r="F85" s="18">
        <v>440200</v>
      </c>
      <c r="G85" s="19">
        <v>0</v>
      </c>
      <c r="H85" s="21"/>
      <c r="I85" s="81">
        <f>(GEOMEAN(T85:W85))-1</f>
        <v>-0.449935329551858</v>
      </c>
      <c r="J85" s="80">
        <f>AVERAGE(M85:P85)</f>
        <v>-0.35688801437291517</v>
      </c>
      <c r="K85" s="81">
        <f>STDEV(M85:P85)</f>
        <v>0.36479403873968647</v>
      </c>
      <c r="L85" s="21"/>
      <c r="M85" s="60">
        <f t="shared" si="17"/>
        <v>0.10109289617486339</v>
      </c>
      <c r="N85" s="60">
        <f t="shared" si="17"/>
        <v>-0.35221238938053095</v>
      </c>
      <c r="O85" s="60">
        <f t="shared" si="17"/>
        <v>-0.38520130576713818</v>
      </c>
      <c r="P85" s="60">
        <f t="shared" si="17"/>
        <v>-0.79123125851885512</v>
      </c>
      <c r="Q85" s="66"/>
      <c r="T85" s="10">
        <f t="shared" si="18"/>
        <v>1.1010928961748634</v>
      </c>
      <c r="U85" s="10">
        <f t="shared" si="18"/>
        <v>0.6477876106194691</v>
      </c>
      <c r="V85" s="10">
        <f t="shared" si="19"/>
        <v>0.61479869423286182</v>
      </c>
      <c r="W85" s="10">
        <f t="shared" si="19"/>
        <v>0.20876874148114488</v>
      </c>
    </row>
    <row r="86" spans="1:24" x14ac:dyDescent="0.15">
      <c r="A86" s="7" t="s">
        <v>78</v>
      </c>
      <c r="B86" s="12">
        <f>SUM(B76:B85)+B63+B87</f>
        <v>5511600</v>
      </c>
      <c r="C86" s="12">
        <f>SUM(C76:C85)+C63+C87</f>
        <v>5291200</v>
      </c>
      <c r="D86" s="12">
        <f>SUM(D76:D85)+D63+D87</f>
        <v>5487000</v>
      </c>
      <c r="E86" s="12">
        <f>SUM(E76:E85)+E63+E87</f>
        <v>5810700</v>
      </c>
      <c r="F86" s="12">
        <f>SUM(F76:F85)+F63+F87</f>
        <v>6682500</v>
      </c>
      <c r="G86" s="11">
        <f>2914710+G87</f>
        <v>3005235</v>
      </c>
      <c r="H86" s="37"/>
      <c r="I86" s="81">
        <f>(GEOMEAN(T86:W86))-1</f>
        <v>-4.701803668412774E-2</v>
      </c>
      <c r="J86" s="80">
        <f>AVERAGE(M86:P86)</f>
        <v>-4.5049502192474652E-2</v>
      </c>
      <c r="K86" s="81">
        <f>STDEV(M86:P86)</f>
        <v>7.074317299476246E-2</v>
      </c>
      <c r="L86" s="37"/>
      <c r="M86" s="13">
        <f t="shared" si="17"/>
        <v>4.1654067130329604E-2</v>
      </c>
      <c r="N86" s="13">
        <f t="shared" si="17"/>
        <v>-3.568434481501731E-2</v>
      </c>
      <c r="O86" s="13">
        <f t="shared" si="17"/>
        <v>-5.5707573958387116E-2</v>
      </c>
      <c r="P86" s="13">
        <f t="shared" si="17"/>
        <v>-0.13046015712682379</v>
      </c>
      <c r="Q86" s="13">
        <f>(F86-G86)/G86</f>
        <v>1.2236197834778313</v>
      </c>
      <c r="T86" s="10">
        <f>1+(M86)</f>
        <v>1.0416540671303296</v>
      </c>
      <c r="U86" s="10">
        <f t="shared" si="18"/>
        <v>0.96431565518498275</v>
      </c>
      <c r="V86" s="10">
        <f t="shared" si="19"/>
        <v>0.9442924260416129</v>
      </c>
      <c r="W86" s="10">
        <f t="shared" si="19"/>
        <v>0.86953984287317621</v>
      </c>
      <c r="X86" s="10">
        <f>1+(Q86)</f>
        <v>2.2236197834778313</v>
      </c>
    </row>
    <row r="87" spans="1:24" x14ac:dyDescent="0.15">
      <c r="A87" s="7" t="s">
        <v>77</v>
      </c>
      <c r="B87" s="11">
        <v>219100</v>
      </c>
      <c r="C87" s="11">
        <v>167800</v>
      </c>
      <c r="D87" s="11">
        <v>127600</v>
      </c>
      <c r="E87" s="11">
        <v>101800</v>
      </c>
      <c r="F87" s="11">
        <v>93800</v>
      </c>
      <c r="G87" s="11">
        <v>90525</v>
      </c>
      <c r="H87" s="7"/>
      <c r="I87" s="79"/>
      <c r="J87" s="78"/>
      <c r="K87" s="79"/>
      <c r="L87" s="7"/>
    </row>
    <row r="88" spans="1:24" x14ac:dyDescent="0.15">
      <c r="B88" s="37"/>
      <c r="H88" s="7"/>
      <c r="I88" s="79"/>
      <c r="J88" s="78"/>
      <c r="K88" s="79"/>
      <c r="L88" s="7"/>
    </row>
    <row r="89" spans="1:24" x14ac:dyDescent="0.15">
      <c r="A89" s="7" t="s">
        <v>76</v>
      </c>
      <c r="B89" s="11">
        <v>663200</v>
      </c>
      <c r="C89" s="11">
        <v>659200</v>
      </c>
      <c r="D89" s="11">
        <v>649700</v>
      </c>
      <c r="E89" s="11">
        <v>628700</v>
      </c>
      <c r="F89" s="11">
        <v>605700</v>
      </c>
      <c r="G89" s="12">
        <v>0</v>
      </c>
      <c r="H89" s="7"/>
      <c r="I89" s="79"/>
      <c r="J89" s="78"/>
      <c r="K89" s="79"/>
      <c r="L89" s="7"/>
    </row>
    <row r="90" spans="1:24" x14ac:dyDescent="0.15">
      <c r="A90" s="7" t="s">
        <v>75</v>
      </c>
      <c r="B90" s="11">
        <v>2296000</v>
      </c>
      <c r="C90" s="11">
        <v>2221700</v>
      </c>
      <c r="D90" s="11">
        <v>2140600</v>
      </c>
      <c r="E90" s="11">
        <v>2020300</v>
      </c>
      <c r="F90" s="11">
        <v>1914100</v>
      </c>
      <c r="G90" s="12">
        <v>0</v>
      </c>
      <c r="H90" s="34" t="s">
        <v>286</v>
      </c>
      <c r="I90" s="81">
        <f>(GEOMEAN(T90:X90))-1</f>
        <v>0.27282216188665287</v>
      </c>
      <c r="J90" s="80">
        <f>AVERAGE(M90:Q90)</f>
        <v>0.40178472432741585</v>
      </c>
      <c r="K90" s="81">
        <f>STDEV(M90:Q90)</f>
        <v>0.80667274146280754</v>
      </c>
      <c r="L90" s="7"/>
      <c r="M90" s="13">
        <f>(SUM(B89:B90)-SUM(C89:C90))/SUM(C89:C90)</f>
        <v>2.7179006560449859E-2</v>
      </c>
      <c r="N90" s="13">
        <f>(SUM(C89:C90)-SUM(D89:D90))/SUM(D89:D90)</f>
        <v>3.2469626921836359E-2</v>
      </c>
      <c r="O90" s="13">
        <f>(SUM(D89:D90)-SUM(E89:E90))/SUM(E89:E90)</f>
        <v>5.3340883352208379E-2</v>
      </c>
      <c r="P90" s="13">
        <f>(SUM(E89:E90)-SUM(F89:F90))/SUM(F89:F90)</f>
        <v>5.1273910627827608E-2</v>
      </c>
      <c r="Q90" s="13">
        <f>(SUM(F89:F90)-SUM(G91))/SUM(G91)</f>
        <v>1.8446601941747574</v>
      </c>
      <c r="T90" s="10">
        <f>1+(M90)</f>
        <v>1.0271790065604498</v>
      </c>
      <c r="U90" s="10">
        <f>1+(N90)</f>
        <v>1.0324696269218363</v>
      </c>
      <c r="V90" s="10">
        <f>1+(O90)</f>
        <v>1.0533408833522084</v>
      </c>
      <c r="W90" s="10">
        <f>1+(P90)</f>
        <v>1.0512739106278277</v>
      </c>
      <c r="X90" s="10">
        <f>1+(Q90)</f>
        <v>2.8446601941747574</v>
      </c>
    </row>
    <row r="91" spans="1:24" x14ac:dyDescent="0.15">
      <c r="A91" s="7" t="s">
        <v>74</v>
      </c>
      <c r="B91" s="11">
        <v>0</v>
      </c>
      <c r="C91" s="12">
        <v>0</v>
      </c>
      <c r="D91" s="12">
        <v>0</v>
      </c>
      <c r="E91" s="12">
        <v>0</v>
      </c>
      <c r="F91" s="12">
        <v>0</v>
      </c>
      <c r="G91" s="11">
        <v>885800</v>
      </c>
      <c r="I91" s="79"/>
      <c r="J91" s="78"/>
      <c r="K91" s="79"/>
      <c r="L91" s="7"/>
      <c r="T91" s="10"/>
      <c r="U91" s="10"/>
      <c r="V91" s="10"/>
      <c r="W91" s="10"/>
      <c r="X91" s="10"/>
    </row>
    <row r="92" spans="1:24" x14ac:dyDescent="0.15">
      <c r="A92" s="7" t="s">
        <v>73</v>
      </c>
      <c r="B92" s="11">
        <v>-82900</v>
      </c>
      <c r="C92" s="11">
        <v>-16900</v>
      </c>
      <c r="D92" s="11">
        <v>208700</v>
      </c>
      <c r="E92" s="11">
        <v>516600</v>
      </c>
      <c r="F92" s="11">
        <v>10600</v>
      </c>
      <c r="G92" s="11">
        <v>7584</v>
      </c>
      <c r="H92" s="34" t="s">
        <v>670</v>
      </c>
      <c r="I92" s="81">
        <v>-1</v>
      </c>
      <c r="J92" s="80">
        <f>AVERAGE(N92:Q92)</f>
        <v>11.614134628291783</v>
      </c>
      <c r="K92" s="81">
        <f>STDEV(N92:Q92)</f>
        <v>24.089006375128335</v>
      </c>
      <c r="L92" s="7"/>
      <c r="M92" s="13">
        <f>(B92-C92)/-C92</f>
        <v>-3.9053254437869822</v>
      </c>
      <c r="N92" s="13">
        <f>(C92-D92)/D92</f>
        <v>-1.0809774796358409</v>
      </c>
      <c r="O92" s="13">
        <f>(D92-E92)/E92</f>
        <v>-0.59601238869531548</v>
      </c>
      <c r="P92" s="13">
        <f>(E92-F92)/F92</f>
        <v>47.735849056603776</v>
      </c>
      <c r="Q92" s="13">
        <f>(F92-G92)/G92</f>
        <v>0.39767932489451474</v>
      </c>
      <c r="T92" s="10">
        <f t="shared" ref="T92:U96" si="20">1+(M92)</f>
        <v>-2.9053254437869822</v>
      </c>
      <c r="U92" s="10">
        <f t="shared" si="20"/>
        <v>-8.0977479635840899E-2</v>
      </c>
      <c r="V92" s="10">
        <f>1+(O92)</f>
        <v>0.40398761130468452</v>
      </c>
      <c r="W92" s="10">
        <f>1+(P92)</f>
        <v>48.735849056603776</v>
      </c>
      <c r="X92" s="10">
        <f>1+(Q92)</f>
        <v>1.3976793248945147</v>
      </c>
    </row>
    <row r="93" spans="1:24" x14ac:dyDescent="0.15">
      <c r="A93" s="43" t="s">
        <v>205</v>
      </c>
      <c r="B93" s="11">
        <v>-15100</v>
      </c>
      <c r="C93" s="11">
        <v>-18800</v>
      </c>
      <c r="D93" s="11">
        <v>-18200</v>
      </c>
      <c r="E93" s="12">
        <v>0</v>
      </c>
      <c r="F93" s="12">
        <v>0</v>
      </c>
      <c r="G93" s="12">
        <v>0</v>
      </c>
      <c r="H93" s="7"/>
      <c r="I93" s="79"/>
      <c r="J93" s="78"/>
      <c r="K93" s="79"/>
      <c r="L93" s="7"/>
      <c r="T93" s="10"/>
      <c r="U93" s="10"/>
      <c r="V93" s="10"/>
      <c r="W93" s="10"/>
      <c r="X93" s="10"/>
    </row>
    <row r="94" spans="1:24" x14ac:dyDescent="0.15">
      <c r="A94" s="43" t="s">
        <v>204</v>
      </c>
      <c r="B94" s="18">
        <v>-68200</v>
      </c>
      <c r="C94" s="18">
        <v>-187200</v>
      </c>
      <c r="D94" s="18">
        <v>-62100</v>
      </c>
      <c r="E94" s="19">
        <v>0</v>
      </c>
      <c r="F94" s="19">
        <v>0</v>
      </c>
      <c r="G94" s="19">
        <v>0</v>
      </c>
      <c r="H94" s="7"/>
      <c r="I94" s="79"/>
      <c r="J94" s="78"/>
      <c r="K94" s="79"/>
      <c r="L94" s="7"/>
      <c r="M94" s="37"/>
      <c r="N94" s="37"/>
      <c r="T94" s="10"/>
      <c r="U94" s="10"/>
      <c r="V94" s="10"/>
      <c r="W94" s="10"/>
      <c r="X94" s="10"/>
    </row>
    <row r="95" spans="1:24" x14ac:dyDescent="0.15">
      <c r="A95" s="7" t="s">
        <v>72</v>
      </c>
      <c r="B95" s="11">
        <v>-83300</v>
      </c>
      <c r="C95" s="11">
        <v>-206000</v>
      </c>
      <c r="D95" s="11">
        <v>-80300</v>
      </c>
      <c r="E95" s="11">
        <v>-9700</v>
      </c>
      <c r="F95" s="11">
        <v>-16000</v>
      </c>
      <c r="G95" s="11">
        <v>-43111</v>
      </c>
      <c r="H95" s="7"/>
      <c r="I95" s="81">
        <v>-1</v>
      </c>
      <c r="J95" s="80">
        <f>AVERAGE(N95:Q95)</f>
        <v>-1.9552788295674297</v>
      </c>
      <c r="K95" s="81">
        <f>STDEV(N95:Q95)</f>
        <v>3.6825194861924397</v>
      </c>
      <c r="L95" s="7"/>
      <c r="M95" s="13">
        <f>(B95-C95)/-C95</f>
        <v>0.59563106796116505</v>
      </c>
      <c r="N95" s="13">
        <f>(C95-D95)/-D95</f>
        <v>-1.5653798256537983</v>
      </c>
      <c r="O95" s="13">
        <f>(D95-E95)/-E95</f>
        <v>-7.2783505154639174</v>
      </c>
      <c r="P95" s="13">
        <f>(E95-F95)/-F95</f>
        <v>0.39374999999999999</v>
      </c>
      <c r="Q95" s="13">
        <f>(F95-G95)/-G95</f>
        <v>0.62886502284799706</v>
      </c>
      <c r="T95" s="10">
        <f t="shared" si="20"/>
        <v>1.5956310679611652</v>
      </c>
      <c r="U95" s="10">
        <f t="shared" si="20"/>
        <v>-0.5653798256537983</v>
      </c>
      <c r="V95" s="10">
        <f t="shared" ref="V95:X96" si="21">1+(O95)</f>
        <v>-6.2783505154639174</v>
      </c>
      <c r="W95" s="10">
        <f t="shared" si="21"/>
        <v>1.39375</v>
      </c>
      <c r="X95" s="10">
        <f t="shared" si="21"/>
        <v>1.6288650228479971</v>
      </c>
    </row>
    <row r="96" spans="1:24" x14ac:dyDescent="0.15">
      <c r="A96" s="7" t="s">
        <v>71</v>
      </c>
      <c r="B96" s="11">
        <v>2793000</v>
      </c>
      <c r="C96" s="11">
        <v>2658000</v>
      </c>
      <c r="D96" s="11">
        <v>2918700</v>
      </c>
      <c r="E96" s="11">
        <v>3155900</v>
      </c>
      <c r="F96" s="11">
        <v>2514400</v>
      </c>
      <c r="G96" s="11">
        <v>850273</v>
      </c>
      <c r="H96" s="7"/>
      <c r="I96" s="81">
        <f>(GEOMEAN(T96:X96))-1</f>
        <v>0.26853516109258768</v>
      </c>
      <c r="J96" s="80">
        <f>AVERAGE(M96:Q96)</f>
        <v>0.41972139856189949</v>
      </c>
      <c r="K96" s="81">
        <f>STDEV(M96:Q96)</f>
        <v>0.87048468076324659</v>
      </c>
      <c r="L96" s="7"/>
      <c r="M96" s="13">
        <f>(B96-C96)/C96</f>
        <v>5.0790067720090294E-2</v>
      </c>
      <c r="N96" s="13">
        <f>(C96-D96)/D96</f>
        <v>-8.9320587932983864E-2</v>
      </c>
      <c r="O96" s="13">
        <f>(D96-E96)/E96</f>
        <v>-7.5160809911594156E-2</v>
      </c>
      <c r="P96" s="13">
        <f>(E96-F96)/F96</f>
        <v>0.25513044861597201</v>
      </c>
      <c r="Q96" s="13">
        <f>(F96-G96)/G96</f>
        <v>1.9571678743180132</v>
      </c>
      <c r="T96" s="10">
        <f t="shared" si="20"/>
        <v>1.0507900677200903</v>
      </c>
      <c r="U96" s="10">
        <f t="shared" si="20"/>
        <v>0.91067941206701608</v>
      </c>
      <c r="V96" s="10">
        <f t="shared" si="21"/>
        <v>0.92483919008840587</v>
      </c>
      <c r="W96" s="10">
        <f t="shared" si="21"/>
        <v>1.255130448615972</v>
      </c>
      <c r="X96" s="10">
        <f t="shared" si="21"/>
        <v>2.9571678743180132</v>
      </c>
    </row>
    <row r="97" spans="1:24" x14ac:dyDescent="0.15">
      <c r="A97" s="7" t="s">
        <v>70</v>
      </c>
      <c r="B97" s="11">
        <v>1600</v>
      </c>
      <c r="C97" s="11">
        <v>2000</v>
      </c>
      <c r="D97" s="11">
        <v>3200</v>
      </c>
      <c r="E97" s="11">
        <v>1000</v>
      </c>
      <c r="F97" s="12">
        <v>0</v>
      </c>
      <c r="G97" s="12">
        <v>0</v>
      </c>
      <c r="H97" s="7"/>
      <c r="I97" s="79"/>
      <c r="J97" s="78"/>
      <c r="K97" s="79"/>
      <c r="L97" s="7"/>
    </row>
    <row r="98" spans="1:24" x14ac:dyDescent="0.15">
      <c r="A98" s="7" t="s">
        <v>69</v>
      </c>
      <c r="B98" s="11">
        <v>2794600</v>
      </c>
      <c r="C98" s="11">
        <v>2660000</v>
      </c>
      <c r="D98" s="11">
        <v>2921900</v>
      </c>
      <c r="E98" s="11">
        <v>3156900</v>
      </c>
      <c r="F98" s="42">
        <v>0</v>
      </c>
      <c r="G98" s="12">
        <v>0</v>
      </c>
      <c r="H98" s="7"/>
      <c r="I98" s="79"/>
      <c r="J98" s="78"/>
      <c r="K98" s="79"/>
      <c r="L98" s="7"/>
    </row>
    <row r="99" spans="1:24" x14ac:dyDescent="0.15">
      <c r="B99" s="37"/>
      <c r="I99" s="79"/>
      <c r="J99" s="78"/>
      <c r="K99" s="79"/>
    </row>
    <row r="100" spans="1:24" ht="14" thickBot="1" x14ac:dyDescent="0.2">
      <c r="A100" s="45" t="s">
        <v>206</v>
      </c>
      <c r="B100" s="282">
        <f>B98+B86</f>
        <v>8306200</v>
      </c>
      <c r="C100" s="46">
        <f>C98+C86</f>
        <v>7951200</v>
      </c>
      <c r="D100" s="46">
        <f>D98+D86</f>
        <v>8408900</v>
      </c>
      <c r="E100" s="46">
        <f>E98+E86</f>
        <v>8967600</v>
      </c>
      <c r="F100" s="46">
        <f>F96+F86</f>
        <v>9196900</v>
      </c>
      <c r="G100" s="46">
        <f>G96+G86</f>
        <v>3855508</v>
      </c>
      <c r="I100" s="81">
        <f>(GEOMEAN(T100:X100))-1</f>
        <v>0.16590765855773371</v>
      </c>
      <c r="J100" s="80">
        <f>AVERAGE(M100:Q100)</f>
        <v>0.25767501581673274</v>
      </c>
      <c r="K100" s="81">
        <f>STDEV(M100:Q100)</f>
        <v>0.63182070842275251</v>
      </c>
      <c r="M100" s="86">
        <f>(B100-C100)/C100</f>
        <v>4.4647348827849882E-2</v>
      </c>
      <c r="N100" s="86">
        <f>(C100-D100)/D100</f>
        <v>-5.4430424906943831E-2</v>
      </c>
      <c r="O100" s="86">
        <f>(D100-E100)/E100</f>
        <v>-6.2302065212542931E-2</v>
      </c>
      <c r="P100" s="86">
        <f>(E100-F100)/F100</f>
        <v>-2.4932314149332929E-2</v>
      </c>
      <c r="Q100" s="86">
        <f>(F100-G100)/G100</f>
        <v>1.3853925345246334</v>
      </c>
      <c r="T100" s="10">
        <f>1+(M100)</f>
        <v>1.0446473488278498</v>
      </c>
      <c r="U100" s="10">
        <f>1+(N100)</f>
        <v>0.94556957509305617</v>
      </c>
      <c r="V100" s="10">
        <f>1+(O100)</f>
        <v>0.93769793478745711</v>
      </c>
      <c r="W100" s="10">
        <f>1+(P100)</f>
        <v>0.97506768585066705</v>
      </c>
      <c r="X100" s="10">
        <f>1+(Q100)</f>
        <v>2.3853925345246334</v>
      </c>
    </row>
    <row r="101" spans="1:24" ht="14" thickTop="1" x14ac:dyDescent="0.15"/>
    <row r="102" spans="1:24" x14ac:dyDescent="0.15">
      <c r="B102" s="37"/>
      <c r="C102" s="37"/>
    </row>
    <row r="103" spans="1:24" x14ac:dyDescent="0.15">
      <c r="E103" s="37"/>
    </row>
  </sheetData>
  <sheetProtection formatCells="0" formatColumns="0" formatRows="0" insertColumns="0" insertRows="0" insertHyperlinks="0" deleteColumns="0" deleteRows="0" sort="0" autoFilter="0" pivotTables="0"/>
  <conditionalFormatting sqref="N54 N51:Q53 M16:Q16 M27:Q28 M31:Q31 M41:Q43 M51:M54">
    <cfRule type="cellIs" dxfId="28" priority="22" operator="greaterThan">
      <formula>0</formula>
    </cfRule>
  </conditionalFormatting>
  <conditionalFormatting sqref="N54 N51:Q53 M16:Q16 M27:Q28 M31:Q31 M41:Q43 M51:M54">
    <cfRule type="cellIs" dxfId="27" priority="21" operator="lessThan">
      <formula>0</formula>
    </cfRule>
  </conditionalFormatting>
  <conditionalFormatting sqref="M54:Q54">
    <cfRule type="cellIs" dxfId="26" priority="19" operator="lessThan">
      <formula>0</formula>
    </cfRule>
    <cfRule type="cellIs" dxfId="25" priority="20" operator="greaterThan">
      <formula>0</formula>
    </cfRule>
  </conditionalFormatting>
  <conditionalFormatting sqref="M22:Q22">
    <cfRule type="cellIs" dxfId="24" priority="17" operator="lessThan">
      <formula>0</formula>
    </cfRule>
    <cfRule type="cellIs" dxfId="23" priority="18" operator="greaterThan">
      <formula>0</formula>
    </cfRule>
  </conditionalFormatting>
  <conditionalFormatting sqref="M47:Q47">
    <cfRule type="cellIs" dxfId="22" priority="14" operator="greaterThan">
      <formula>0</formula>
    </cfRule>
    <cfRule type="cellIs" dxfId="21" priority="15" operator="lessThan">
      <formula>0</formula>
    </cfRule>
    <cfRule type="cellIs" dxfId="20" priority="16" operator="lessThan">
      <formula>0</formula>
    </cfRule>
  </conditionalFormatting>
  <conditionalFormatting sqref="M66:Q68 M72:Q72 M74:Q74 M76:Q76">
    <cfRule type="cellIs" dxfId="19" priority="11" operator="equal">
      <formula>0</formula>
    </cfRule>
    <cfRule type="cellIs" dxfId="18" priority="12" operator="lessThan">
      <formula>0</formula>
    </cfRule>
    <cfRule type="cellIs" dxfId="17" priority="13" operator="greaterThan">
      <formula>0</formula>
    </cfRule>
  </conditionalFormatting>
  <conditionalFormatting sqref="M59:Q59">
    <cfRule type="cellIs" dxfId="16" priority="9" operator="lessThan">
      <formula>0</formula>
    </cfRule>
    <cfRule type="cellIs" dxfId="15" priority="10" operator="greaterThan">
      <formula>0</formula>
    </cfRule>
  </conditionalFormatting>
  <conditionalFormatting sqref="M63:Q63">
    <cfRule type="cellIs" dxfId="14" priority="7" operator="lessThan">
      <formula>0</formula>
    </cfRule>
    <cfRule type="cellIs" dxfId="13" priority="8" operator="greaterThan">
      <formula>0</formula>
    </cfRule>
  </conditionalFormatting>
  <conditionalFormatting sqref="M96:Q96">
    <cfRule type="cellIs" dxfId="12" priority="6" operator="greaterThan">
      <formula>0</formula>
    </cfRule>
  </conditionalFormatting>
  <conditionalFormatting sqref="M95:Q96 M90:Q90 M92:Q92">
    <cfRule type="cellIs" dxfId="11" priority="4" operator="lessThan">
      <formula>0</formula>
    </cfRule>
    <cfRule type="cellIs" dxfId="10" priority="5" operator="greaterThan">
      <formula>0</formula>
    </cfRule>
  </conditionalFormatting>
  <conditionalFormatting sqref="M86:Q86">
    <cfRule type="cellIs" dxfId="9" priority="2" operator="lessThan">
      <formula>0</formula>
    </cfRule>
    <cfRule type="cellIs" dxfId="8" priority="3" operator="greaterThan">
      <formula>0</formula>
    </cfRule>
  </conditionalFormatting>
  <conditionalFormatting sqref="M52">
    <cfRule type="cellIs" dxfId="7" priority="1" operator="equal">
      <formula>0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O91"/>
  <sheetViews>
    <sheetView workbookViewId="0">
      <selection activeCell="B44" sqref="B44"/>
    </sheetView>
  </sheetViews>
  <sheetFormatPr baseColWidth="10" defaultColWidth="8.83203125" defaultRowHeight="13" x14ac:dyDescent="0.15"/>
  <cols>
    <col min="1" max="1" width="67.5" bestFit="1" customWidth="1"/>
    <col min="2" max="2" width="17.1640625" customWidth="1"/>
    <col min="3" max="7" width="14.5" bestFit="1" customWidth="1"/>
    <col min="8" max="8" width="12" customWidth="1"/>
    <col min="9" max="9" width="12.5" bestFit="1" customWidth="1"/>
    <col min="10" max="10" width="13.1640625" bestFit="1" customWidth="1"/>
    <col min="11" max="11" width="13.1640625" customWidth="1"/>
    <col min="12" max="12" width="12.5" bestFit="1" customWidth="1"/>
    <col min="13" max="198" width="12" customWidth="1"/>
  </cols>
  <sheetData>
    <row r="4" spans="1:8" x14ac:dyDescent="0.15">
      <c r="A4" s="1" t="s">
        <v>0</v>
      </c>
      <c r="B4" s="1"/>
    </row>
    <row r="5" spans="1:8" ht="20" x14ac:dyDescent="0.2">
      <c r="A5" s="2" t="s">
        <v>1</v>
      </c>
      <c r="B5" s="2"/>
    </row>
    <row r="7" spans="1:8" ht="14" x14ac:dyDescent="0.15">
      <c r="A7" s="3" t="s">
        <v>2</v>
      </c>
      <c r="B7" s="3"/>
    </row>
    <row r="10" spans="1:8" ht="14" x14ac:dyDescent="0.15">
      <c r="A10" s="4" t="s">
        <v>153</v>
      </c>
      <c r="B10" s="4"/>
    </row>
    <row r="11" spans="1:8" ht="14" x14ac:dyDescent="0.15">
      <c r="A11" s="5" t="s">
        <v>4</v>
      </c>
      <c r="B11" s="283">
        <v>44286</v>
      </c>
      <c r="C11" s="6" t="s">
        <v>5</v>
      </c>
      <c r="D11" s="6" t="s">
        <v>6</v>
      </c>
      <c r="E11" s="6" t="s">
        <v>7</v>
      </c>
      <c r="F11" s="6" t="s">
        <v>8</v>
      </c>
      <c r="G11" s="6" t="s">
        <v>9</v>
      </c>
      <c r="H11" s="5"/>
    </row>
    <row r="12" spans="1:8" ht="14" x14ac:dyDescent="0.15">
      <c r="A12" s="5" t="s">
        <v>10</v>
      </c>
      <c r="B12" s="6" t="s">
        <v>11</v>
      </c>
      <c r="C12" s="6" t="s">
        <v>11</v>
      </c>
      <c r="D12" s="6" t="s">
        <v>11</v>
      </c>
      <c r="E12" s="6" t="s">
        <v>11</v>
      </c>
      <c r="F12" s="6" t="s">
        <v>11</v>
      </c>
      <c r="G12" s="6" t="s">
        <v>11</v>
      </c>
      <c r="H12" s="5"/>
    </row>
    <row r="13" spans="1:8" ht="14" x14ac:dyDescent="0.15">
      <c r="A13" s="5" t="s">
        <v>12</v>
      </c>
      <c r="B13" s="6" t="s">
        <v>13</v>
      </c>
      <c r="C13" s="6" t="s">
        <v>13</v>
      </c>
      <c r="D13" s="6" t="s">
        <v>13</v>
      </c>
      <c r="E13" s="6" t="s">
        <v>13</v>
      </c>
      <c r="F13" s="6" t="s">
        <v>13</v>
      </c>
      <c r="G13" s="6" t="s">
        <v>13</v>
      </c>
      <c r="H13" s="5"/>
    </row>
    <row r="14" spans="1:8" ht="14" x14ac:dyDescent="0.15">
      <c r="A14" s="5" t="s">
        <v>14</v>
      </c>
      <c r="B14" s="6" t="s">
        <v>15</v>
      </c>
      <c r="C14" s="6" t="s">
        <v>15</v>
      </c>
      <c r="D14" s="6" t="s">
        <v>15</v>
      </c>
      <c r="E14" s="6" t="s">
        <v>15</v>
      </c>
      <c r="F14" s="6" t="s">
        <v>15</v>
      </c>
      <c r="G14" s="6" t="s">
        <v>15</v>
      </c>
      <c r="H14" s="5"/>
    </row>
    <row r="15" spans="1:8" ht="14" x14ac:dyDescent="0.15">
      <c r="A15" s="5" t="s">
        <v>16</v>
      </c>
      <c r="B15" s="6" t="s">
        <v>17</v>
      </c>
      <c r="C15" s="6" t="s">
        <v>17</v>
      </c>
      <c r="D15" s="6" t="s">
        <v>17</v>
      </c>
      <c r="E15" s="6" t="s">
        <v>17</v>
      </c>
      <c r="F15" s="6" t="s">
        <v>17</v>
      </c>
      <c r="G15" s="6" t="s">
        <v>17</v>
      </c>
      <c r="H15" s="5"/>
    </row>
    <row r="16" spans="1:8" x14ac:dyDescent="0.15">
      <c r="A16" s="49" t="s">
        <v>232</v>
      </c>
      <c r="B16" s="49"/>
      <c r="C16" s="6"/>
      <c r="D16" s="6"/>
      <c r="E16" s="6"/>
      <c r="F16" s="6"/>
      <c r="G16" s="6"/>
      <c r="H16" s="5"/>
    </row>
    <row r="17" spans="1:15" x14ac:dyDescent="0.15">
      <c r="A17" s="7" t="s">
        <v>54</v>
      </c>
      <c r="B17" s="11">
        <v>-34500</v>
      </c>
      <c r="C17" s="11">
        <v>-206400</v>
      </c>
      <c r="D17" s="11">
        <v>-299600</v>
      </c>
      <c r="E17" s="11">
        <v>468100</v>
      </c>
      <c r="F17" s="11">
        <v>14500</v>
      </c>
      <c r="G17" s="11">
        <v>42700</v>
      </c>
      <c r="H17" s="7"/>
      <c r="I17" s="37"/>
      <c r="J17" s="37"/>
      <c r="K17" s="37"/>
      <c r="L17" s="37"/>
    </row>
    <row r="18" spans="1:15" x14ac:dyDescent="0.15">
      <c r="A18" s="48" t="s">
        <v>207</v>
      </c>
      <c r="C18" s="11"/>
      <c r="D18" s="11"/>
      <c r="E18" s="11"/>
      <c r="F18" s="11"/>
      <c r="G18" s="11"/>
      <c r="H18" s="7"/>
    </row>
    <row r="19" spans="1:15" x14ac:dyDescent="0.15">
      <c r="A19" s="43" t="s">
        <v>208</v>
      </c>
      <c r="B19" s="11">
        <v>188500</v>
      </c>
      <c r="C19" s="11">
        <v>197700</v>
      </c>
      <c r="D19" s="11">
        <v>163400</v>
      </c>
      <c r="E19" s="11">
        <v>159000</v>
      </c>
      <c r="F19" s="11">
        <v>63100</v>
      </c>
      <c r="G19" s="11">
        <v>13084</v>
      </c>
      <c r="H19" s="7"/>
      <c r="I19" s="13">
        <f>AVERAGE(L19:O19)</f>
        <v>1.395020324192441</v>
      </c>
      <c r="J19" s="13">
        <f>STDEV(L19:O19)</f>
        <v>1.7495941768960355</v>
      </c>
      <c r="L19" s="13">
        <f t="shared" ref="L19:O20" si="0">(C19-D19)/D19</f>
        <v>0.20991432068543453</v>
      </c>
      <c r="M19" s="13">
        <f t="shared" si="0"/>
        <v>2.7672955974842768E-2</v>
      </c>
      <c r="N19" s="13">
        <f t="shared" si="0"/>
        <v>1.5198098256735342</v>
      </c>
      <c r="O19" s="13">
        <f t="shared" si="0"/>
        <v>3.8226841944359524</v>
      </c>
    </row>
    <row r="20" spans="1:15" x14ac:dyDescent="0.15">
      <c r="A20" s="43" t="s">
        <v>209</v>
      </c>
      <c r="B20" s="11">
        <v>1189800</v>
      </c>
      <c r="C20" s="11">
        <v>1706700</v>
      </c>
      <c r="D20" s="11">
        <v>1516500</v>
      </c>
      <c r="E20" s="11">
        <v>1641700</v>
      </c>
      <c r="F20" s="11">
        <v>1414000</v>
      </c>
      <c r="G20" s="11">
        <v>1029077</v>
      </c>
      <c r="H20" s="7"/>
      <c r="I20" s="13">
        <f>AVERAGE(L20:O20)</f>
        <v>0.14605933420173872</v>
      </c>
      <c r="J20" s="13">
        <f>STDEV(L20:O20)</f>
        <v>0.18444097919128161</v>
      </c>
      <c r="L20" s="13">
        <f t="shared" si="0"/>
        <v>0.12542037586547972</v>
      </c>
      <c r="M20" s="13">
        <f t="shared" si="0"/>
        <v>-7.6262410915514403E-2</v>
      </c>
      <c r="N20" s="13">
        <f t="shared" si="0"/>
        <v>0.16103253182461102</v>
      </c>
      <c r="O20" s="13">
        <f t="shared" si="0"/>
        <v>0.37404684003237854</v>
      </c>
    </row>
    <row r="21" spans="1:15" x14ac:dyDescent="0.15">
      <c r="A21" s="43" t="s">
        <v>210</v>
      </c>
      <c r="B21" s="12">
        <v>0</v>
      </c>
      <c r="C21" s="12">
        <v>0</v>
      </c>
      <c r="D21" s="11">
        <v>-72000</v>
      </c>
      <c r="E21" s="11">
        <v>56500</v>
      </c>
      <c r="F21" s="11">
        <v>15500</v>
      </c>
      <c r="G21" s="12" t="s">
        <v>24</v>
      </c>
      <c r="H21" s="7"/>
    </row>
    <row r="22" spans="1:15" x14ac:dyDescent="0.15">
      <c r="A22" s="43" t="s">
        <v>1013</v>
      </c>
      <c r="B22" s="11">
        <v>44800</v>
      </c>
      <c r="C22" s="11">
        <v>14900</v>
      </c>
      <c r="D22" s="11">
        <v>11600</v>
      </c>
      <c r="E22" s="11">
        <v>14300</v>
      </c>
      <c r="F22" s="11">
        <v>12900</v>
      </c>
      <c r="G22" s="11">
        <v>9184</v>
      </c>
      <c r="H22" s="21"/>
    </row>
    <row r="23" spans="1:15" x14ac:dyDescent="0.15">
      <c r="A23" s="43" t="s">
        <v>211</v>
      </c>
      <c r="B23" s="11">
        <v>89000</v>
      </c>
      <c r="C23" s="11">
        <v>50500</v>
      </c>
      <c r="D23" s="11">
        <v>68100</v>
      </c>
      <c r="E23" s="11">
        <v>88400</v>
      </c>
      <c r="F23" s="11">
        <v>76900</v>
      </c>
      <c r="G23" s="11">
        <v>77906</v>
      </c>
      <c r="H23" s="7"/>
    </row>
    <row r="24" spans="1:15" x14ac:dyDescent="0.15">
      <c r="A24" s="43" t="s">
        <v>212</v>
      </c>
      <c r="B24" s="11">
        <v>73200</v>
      </c>
      <c r="C24" s="11">
        <v>68500</v>
      </c>
      <c r="D24" s="12" t="s">
        <v>24</v>
      </c>
      <c r="E24" s="12" t="s">
        <v>24</v>
      </c>
      <c r="F24" s="12" t="s">
        <v>24</v>
      </c>
      <c r="G24" s="12" t="s">
        <v>24</v>
      </c>
      <c r="H24" s="7"/>
    </row>
    <row r="25" spans="1:15" x14ac:dyDescent="0.15">
      <c r="A25" s="43" t="s">
        <v>213</v>
      </c>
      <c r="B25" s="12">
        <v>0</v>
      </c>
      <c r="C25" s="12">
        <v>0</v>
      </c>
      <c r="D25" s="11">
        <v>29000</v>
      </c>
      <c r="E25" s="11">
        <v>20100</v>
      </c>
      <c r="F25" s="11">
        <v>4300</v>
      </c>
      <c r="G25" s="11">
        <v>2031</v>
      </c>
      <c r="H25" s="7"/>
    </row>
    <row r="26" spans="1:15" x14ac:dyDescent="0.15">
      <c r="A26" s="43" t="s">
        <v>214</v>
      </c>
      <c r="B26" s="12">
        <v>0</v>
      </c>
      <c r="C26" s="12">
        <v>0</v>
      </c>
      <c r="D26" s="11">
        <v>1800</v>
      </c>
      <c r="E26" s="12">
        <v>0</v>
      </c>
      <c r="F26" s="11">
        <v>14000</v>
      </c>
      <c r="G26" s="12">
        <v>0</v>
      </c>
      <c r="H26" s="7"/>
    </row>
    <row r="27" spans="1:15" x14ac:dyDescent="0.15">
      <c r="A27" s="43" t="s">
        <v>215</v>
      </c>
      <c r="B27" s="11">
        <v>0</v>
      </c>
      <c r="C27" s="12">
        <v>0</v>
      </c>
      <c r="D27" s="12">
        <v>0</v>
      </c>
      <c r="E27" s="12">
        <v>0</v>
      </c>
      <c r="F27" s="11">
        <v>-20400</v>
      </c>
      <c r="G27" s="12">
        <v>0</v>
      </c>
      <c r="H27" s="7"/>
    </row>
    <row r="28" spans="1:15" x14ac:dyDescent="0.15">
      <c r="A28" s="43" t="s">
        <v>1014</v>
      </c>
      <c r="B28" s="11">
        <v>-44100</v>
      </c>
      <c r="C28" s="12">
        <v>0</v>
      </c>
      <c r="D28" s="12">
        <v>0</v>
      </c>
      <c r="E28" s="12">
        <v>0</v>
      </c>
      <c r="F28" s="11">
        <v>0</v>
      </c>
      <c r="G28" s="12">
        <v>0</v>
      </c>
      <c r="H28" s="7"/>
    </row>
    <row r="29" spans="1:15" x14ac:dyDescent="0.15">
      <c r="A29" s="43" t="s">
        <v>216</v>
      </c>
      <c r="B29" s="11">
        <v>0</v>
      </c>
      <c r="C29" s="11">
        <v>-5400</v>
      </c>
      <c r="D29" s="11">
        <v>1900</v>
      </c>
      <c r="E29" s="11">
        <v>35700</v>
      </c>
      <c r="F29" s="11">
        <v>40400</v>
      </c>
      <c r="G29" s="12">
        <v>0</v>
      </c>
      <c r="H29" s="7"/>
    </row>
    <row r="30" spans="1:15" x14ac:dyDescent="0.15">
      <c r="A30" s="43" t="s">
        <v>217</v>
      </c>
      <c r="B30" s="11">
        <v>6100</v>
      </c>
      <c r="C30" s="11">
        <v>17200</v>
      </c>
      <c r="D30" s="11">
        <v>42900</v>
      </c>
      <c r="E30" s="11">
        <v>52800</v>
      </c>
      <c r="F30" s="11">
        <v>-10700</v>
      </c>
      <c r="G30" s="11">
        <v>-44231</v>
      </c>
      <c r="H30" s="7"/>
    </row>
    <row r="31" spans="1:15" x14ac:dyDescent="0.15">
      <c r="A31" s="43" t="s">
        <v>218</v>
      </c>
      <c r="B31" s="11">
        <v>-500</v>
      </c>
      <c r="C31" s="11">
        <v>500</v>
      </c>
      <c r="D31" s="11">
        <v>87600</v>
      </c>
      <c r="E31" s="12" t="s">
        <v>24</v>
      </c>
      <c r="F31" s="12" t="s">
        <v>24</v>
      </c>
      <c r="G31" s="12" t="s">
        <v>24</v>
      </c>
      <c r="H31" s="7"/>
    </row>
    <row r="32" spans="1:15" x14ac:dyDescent="0.15">
      <c r="A32" s="43" t="s">
        <v>219</v>
      </c>
      <c r="B32" s="12">
        <v>0</v>
      </c>
      <c r="C32" s="12" t="s">
        <v>24</v>
      </c>
      <c r="D32" s="12" t="s">
        <v>24</v>
      </c>
      <c r="E32" s="11">
        <v>-201000</v>
      </c>
      <c r="F32" s="12" t="s">
        <v>24</v>
      </c>
      <c r="G32" s="12" t="s">
        <v>24</v>
      </c>
      <c r="H32" s="7"/>
    </row>
    <row r="33" spans="1:15" x14ac:dyDescent="0.15">
      <c r="A33" s="43" t="s">
        <v>220</v>
      </c>
      <c r="B33" s="11">
        <v>0</v>
      </c>
      <c r="C33" s="12" t="s">
        <v>24</v>
      </c>
      <c r="D33" s="12" t="s">
        <v>24</v>
      </c>
      <c r="E33" s="11">
        <v>29200</v>
      </c>
      <c r="F33" s="12" t="s">
        <v>24</v>
      </c>
      <c r="G33" s="12" t="s">
        <v>24</v>
      </c>
      <c r="H33" s="7"/>
    </row>
    <row r="34" spans="1:15" x14ac:dyDescent="0.15">
      <c r="A34" s="43" t="s">
        <v>221</v>
      </c>
      <c r="B34" s="11">
        <v>3400</v>
      </c>
      <c r="C34" s="11">
        <v>-900</v>
      </c>
      <c r="D34" s="11">
        <v>-23600</v>
      </c>
      <c r="E34" s="11">
        <v>-299500</v>
      </c>
      <c r="F34" s="11">
        <v>-163400</v>
      </c>
      <c r="G34" s="11">
        <v>-85069</v>
      </c>
      <c r="H34" s="7"/>
    </row>
    <row r="35" spans="1:15" x14ac:dyDescent="0.15">
      <c r="A35" s="48" t="s">
        <v>222</v>
      </c>
      <c r="C35" s="11"/>
      <c r="D35" s="11"/>
      <c r="E35" s="11"/>
      <c r="F35" s="11"/>
      <c r="G35" s="11"/>
      <c r="H35" s="7"/>
    </row>
    <row r="36" spans="1:15" x14ac:dyDescent="0.15">
      <c r="A36" s="43" t="s">
        <v>223</v>
      </c>
      <c r="B36" s="11">
        <v>0</v>
      </c>
      <c r="C36" s="12" t="s">
        <v>24</v>
      </c>
      <c r="D36" s="12" t="s">
        <v>24</v>
      </c>
      <c r="E36" s="11">
        <v>2800</v>
      </c>
      <c r="F36" s="11">
        <v>100</v>
      </c>
      <c r="G36" s="11">
        <v>-398</v>
      </c>
      <c r="H36" s="7"/>
    </row>
    <row r="37" spans="1:15" x14ac:dyDescent="0.15">
      <c r="A37" s="43" t="s">
        <v>224</v>
      </c>
      <c r="B37" s="11">
        <v>133900</v>
      </c>
      <c r="C37" s="11">
        <v>397500</v>
      </c>
      <c r="D37" s="11">
        <v>470800</v>
      </c>
      <c r="E37" s="11">
        <v>-8600</v>
      </c>
      <c r="F37" s="11">
        <f>-83000+-4800</f>
        <v>-87800</v>
      </c>
      <c r="G37" s="11">
        <f>-144910+-13413</f>
        <v>-158323</v>
      </c>
      <c r="H37" s="7"/>
    </row>
    <row r="38" spans="1:15" x14ac:dyDescent="0.15">
      <c r="A38" s="43" t="s">
        <v>226</v>
      </c>
      <c r="C38" s="12" t="s">
        <v>24</v>
      </c>
      <c r="D38" s="12" t="s">
        <v>24</v>
      </c>
      <c r="E38" s="12" t="s">
        <v>24</v>
      </c>
      <c r="F38" s="12" t="s">
        <v>24</v>
      </c>
      <c r="G38" s="11">
        <v>-1066403</v>
      </c>
      <c r="H38" s="7"/>
    </row>
    <row r="39" spans="1:15" x14ac:dyDescent="0.15">
      <c r="A39" s="43" t="s">
        <v>227</v>
      </c>
      <c r="B39" s="11">
        <v>-1616700</v>
      </c>
      <c r="C39" s="11">
        <v>-1545300</v>
      </c>
      <c r="D39" s="11">
        <v>-1469900</v>
      </c>
      <c r="E39" s="11">
        <v>-1526400</v>
      </c>
      <c r="F39" s="11">
        <v>-1092000</v>
      </c>
      <c r="G39" s="12" t="s">
        <v>24</v>
      </c>
      <c r="H39" s="21"/>
    </row>
    <row r="40" spans="1:15" x14ac:dyDescent="0.15">
      <c r="A40" s="43" t="s">
        <v>228</v>
      </c>
      <c r="B40" s="11">
        <v>32700</v>
      </c>
      <c r="C40" s="11">
        <v>-31800</v>
      </c>
      <c r="D40" s="11">
        <v>41000</v>
      </c>
      <c r="E40" s="11">
        <v>-181700</v>
      </c>
      <c r="F40" s="11">
        <v>152900</v>
      </c>
      <c r="G40" s="11">
        <v>28916</v>
      </c>
      <c r="H40" s="7"/>
    </row>
    <row r="41" spans="1:15" x14ac:dyDescent="0.15">
      <c r="A41" s="43" t="s">
        <v>229</v>
      </c>
      <c r="B41" s="11">
        <v>-49100</v>
      </c>
      <c r="C41" s="11">
        <v>-24500</v>
      </c>
      <c r="D41" s="11">
        <v>-85800</v>
      </c>
      <c r="E41" s="11">
        <v>62600</v>
      </c>
      <c r="F41" s="11">
        <v>205300</v>
      </c>
      <c r="G41" s="11">
        <v>134884</v>
      </c>
      <c r="H41" s="7"/>
    </row>
    <row r="42" spans="1:15" x14ac:dyDescent="0.15">
      <c r="A42" s="43" t="s">
        <v>230</v>
      </c>
      <c r="B42" s="11">
        <v>-64900</v>
      </c>
      <c r="C42" s="11">
        <v>6800</v>
      </c>
      <c r="D42" s="11">
        <v>-11800</v>
      </c>
      <c r="E42" s="11">
        <v>5100</v>
      </c>
      <c r="F42" s="11">
        <v>17100</v>
      </c>
      <c r="G42" s="11">
        <v>-30711</v>
      </c>
      <c r="H42" s="7"/>
    </row>
    <row r="43" spans="1:15" x14ac:dyDescent="0.15">
      <c r="A43" s="43" t="s">
        <v>231</v>
      </c>
      <c r="B43" s="18">
        <v>47900</v>
      </c>
      <c r="C43" s="18">
        <v>-31400</v>
      </c>
      <c r="D43" s="18">
        <v>-44400</v>
      </c>
      <c r="E43" s="18">
        <v>-29900</v>
      </c>
      <c r="F43" s="18">
        <v>-98100</v>
      </c>
      <c r="G43" s="18">
        <v>28347</v>
      </c>
      <c r="H43" s="7"/>
    </row>
    <row r="44" spans="1:15" x14ac:dyDescent="0.15">
      <c r="A44" s="50" t="s">
        <v>152</v>
      </c>
      <c r="B44" s="11">
        <v>-500</v>
      </c>
      <c r="C44" s="11">
        <v>614600</v>
      </c>
      <c r="D44" s="11">
        <v>427500</v>
      </c>
      <c r="E44" s="11">
        <v>389200</v>
      </c>
      <c r="F44" s="11">
        <v>558600</v>
      </c>
      <c r="G44" s="11">
        <v>-19006</v>
      </c>
      <c r="H44" s="7"/>
      <c r="L44" s="13">
        <f>(C44-D44)/D44</f>
        <v>0.43766081871345031</v>
      </c>
      <c r="M44" s="13">
        <f>(D44-E44)/E44</f>
        <v>9.8406988694758474E-2</v>
      </c>
      <c r="N44" s="13">
        <f>(E44-F44)/F44</f>
        <v>-0.3032581453634085</v>
      </c>
      <c r="O44" s="13">
        <f>(F44-G44)/G44</f>
        <v>-30.390718720404085</v>
      </c>
    </row>
    <row r="45" spans="1:15" x14ac:dyDescent="0.15">
      <c r="A45" s="50"/>
      <c r="C45" s="11"/>
      <c r="D45" s="11"/>
      <c r="E45" s="11"/>
      <c r="F45" s="11"/>
      <c r="G45" s="11"/>
      <c r="H45" s="7"/>
    </row>
    <row r="46" spans="1:15" x14ac:dyDescent="0.15">
      <c r="A46" s="17" t="s">
        <v>233</v>
      </c>
      <c r="C46" s="11"/>
      <c r="D46" s="11"/>
      <c r="E46" s="11"/>
      <c r="F46" s="11"/>
      <c r="G46" s="11"/>
      <c r="H46" s="7"/>
    </row>
    <row r="47" spans="1:15" x14ac:dyDescent="0.15">
      <c r="A47" s="7" t="s">
        <v>151</v>
      </c>
      <c r="B47" s="11">
        <v>4100</v>
      </c>
      <c r="C47" s="12" t="s">
        <v>24</v>
      </c>
      <c r="D47" s="11">
        <v>48000</v>
      </c>
      <c r="E47" s="11">
        <v>393700</v>
      </c>
      <c r="F47" s="12" t="s">
        <v>24</v>
      </c>
      <c r="G47" s="12" t="s">
        <v>24</v>
      </c>
      <c r="H47" s="7"/>
    </row>
    <row r="48" spans="1:15" x14ac:dyDescent="0.15">
      <c r="A48" s="7" t="s">
        <v>150</v>
      </c>
      <c r="B48" s="11">
        <v>0</v>
      </c>
      <c r="C48" s="12" t="s">
        <v>24</v>
      </c>
      <c r="D48" s="11">
        <v>-48600</v>
      </c>
      <c r="E48" s="12" t="s">
        <v>24</v>
      </c>
      <c r="F48" s="12" t="s">
        <v>24</v>
      </c>
      <c r="G48" s="11">
        <v>-15989</v>
      </c>
      <c r="H48" s="7"/>
    </row>
    <row r="49" spans="1:15" x14ac:dyDescent="0.15">
      <c r="A49" s="7" t="s">
        <v>149</v>
      </c>
      <c r="B49" s="11">
        <v>-200</v>
      </c>
      <c r="C49" s="11">
        <v>-20600</v>
      </c>
      <c r="D49" s="12" t="s">
        <v>24</v>
      </c>
      <c r="E49" s="11">
        <v>-53400</v>
      </c>
      <c r="F49" s="11">
        <v>-20600</v>
      </c>
      <c r="G49" s="12" t="s">
        <v>24</v>
      </c>
      <c r="H49" s="7"/>
    </row>
    <row r="50" spans="1:15" x14ac:dyDescent="0.15">
      <c r="A50" s="7" t="s">
        <v>148</v>
      </c>
      <c r="B50" s="11">
        <v>0</v>
      </c>
      <c r="C50" s="12" t="s">
        <v>24</v>
      </c>
      <c r="D50" s="12" t="s">
        <v>24</v>
      </c>
      <c r="E50" s="12" t="s">
        <v>24</v>
      </c>
      <c r="F50" s="11">
        <v>3100</v>
      </c>
      <c r="G50" s="12" t="s">
        <v>24</v>
      </c>
      <c r="H50" s="7"/>
    </row>
    <row r="51" spans="1:15" x14ac:dyDescent="0.15">
      <c r="A51" s="7" t="s">
        <v>147</v>
      </c>
      <c r="B51" s="11">
        <v>0</v>
      </c>
      <c r="C51" s="12" t="s">
        <v>24</v>
      </c>
      <c r="D51" s="11">
        <v>-77300</v>
      </c>
      <c r="E51" s="11">
        <v>-1800</v>
      </c>
      <c r="F51" s="12" t="s">
        <v>24</v>
      </c>
      <c r="G51" s="12" t="s">
        <v>24</v>
      </c>
      <c r="H51" s="7"/>
    </row>
    <row r="52" spans="1:15" x14ac:dyDescent="0.15">
      <c r="A52" s="7" t="s">
        <v>146</v>
      </c>
      <c r="B52" s="11">
        <v>0</v>
      </c>
      <c r="C52" s="12" t="s">
        <v>24</v>
      </c>
      <c r="D52" s="12" t="s">
        <v>24</v>
      </c>
      <c r="E52" s="12" t="s">
        <v>24</v>
      </c>
      <c r="F52" s="11">
        <v>-1102600</v>
      </c>
      <c r="G52" s="12" t="s">
        <v>24</v>
      </c>
      <c r="H52" s="7"/>
    </row>
    <row r="53" spans="1:15" x14ac:dyDescent="0.15">
      <c r="A53" s="7" t="s">
        <v>145</v>
      </c>
      <c r="B53" s="11">
        <v>0</v>
      </c>
      <c r="C53" s="12" t="s">
        <v>24</v>
      </c>
      <c r="D53" s="12" t="s">
        <v>24</v>
      </c>
      <c r="E53" s="12" t="s">
        <v>24</v>
      </c>
      <c r="F53" s="12" t="s">
        <v>24</v>
      </c>
      <c r="G53" s="11">
        <v>-126892</v>
      </c>
      <c r="H53" s="7"/>
    </row>
    <row r="54" spans="1:15" x14ac:dyDescent="0.15">
      <c r="A54" s="7" t="s">
        <v>144</v>
      </c>
      <c r="B54" s="11">
        <v>0</v>
      </c>
      <c r="C54" s="12" t="s">
        <v>24</v>
      </c>
      <c r="D54" s="12" t="s">
        <v>24</v>
      </c>
      <c r="E54" s="12" t="s">
        <v>24</v>
      </c>
      <c r="F54" s="12" t="s">
        <v>24</v>
      </c>
      <c r="G54" s="11">
        <v>-750</v>
      </c>
      <c r="H54" s="7"/>
    </row>
    <row r="55" spans="1:15" x14ac:dyDescent="0.15">
      <c r="A55" s="7" t="s">
        <v>143</v>
      </c>
      <c r="B55" s="18">
        <v>-35000</v>
      </c>
      <c r="C55" s="18">
        <v>-31100</v>
      </c>
      <c r="D55" s="18">
        <v>-43800</v>
      </c>
      <c r="E55" s="18">
        <v>-45900</v>
      </c>
      <c r="F55" s="18">
        <v>-25200</v>
      </c>
      <c r="G55" s="18">
        <v>-18433</v>
      </c>
      <c r="H55" s="7"/>
    </row>
    <row r="56" spans="1:15" x14ac:dyDescent="0.15">
      <c r="A56" s="50" t="s">
        <v>142</v>
      </c>
      <c r="B56" s="11">
        <v>-31100</v>
      </c>
      <c r="C56" s="11">
        <v>-51700</v>
      </c>
      <c r="D56" s="11">
        <v>-121700</v>
      </c>
      <c r="E56" s="11">
        <v>292600</v>
      </c>
      <c r="F56" s="11">
        <v>-1145300</v>
      </c>
      <c r="G56" s="11">
        <v>-162064</v>
      </c>
      <c r="H56" s="7"/>
      <c r="L56" s="13">
        <f>(C56-D56)/D56</f>
        <v>-0.57518488085456043</v>
      </c>
      <c r="M56" s="13">
        <f>(D56-E56)/E56</f>
        <v>-1.4159261790840738</v>
      </c>
      <c r="N56" s="13">
        <f>(E56-F56)/F56</f>
        <v>-1.2554789138217062</v>
      </c>
      <c r="O56" s="13">
        <f>(F56-G56)/G56</f>
        <v>6.0669612005133775</v>
      </c>
    </row>
    <row r="57" spans="1:15" x14ac:dyDescent="0.15">
      <c r="A57" s="50"/>
      <c r="C57" s="11"/>
      <c r="D57" s="11"/>
      <c r="E57" s="11"/>
      <c r="F57" s="11"/>
      <c r="G57" s="11"/>
      <c r="H57" s="7"/>
    </row>
    <row r="58" spans="1:15" x14ac:dyDescent="0.15">
      <c r="A58" s="17" t="s">
        <v>234</v>
      </c>
      <c r="B58" s="12"/>
      <c r="C58" s="11"/>
      <c r="D58" s="11"/>
      <c r="E58" s="11"/>
      <c r="F58" s="11"/>
      <c r="G58" s="11"/>
      <c r="H58" s="7"/>
    </row>
    <row r="59" spans="1:15" x14ac:dyDescent="0.15">
      <c r="A59" s="7" t="s">
        <v>141</v>
      </c>
      <c r="C59" s="12" t="s">
        <v>24</v>
      </c>
      <c r="D59" s="12" t="s">
        <v>24</v>
      </c>
      <c r="E59" s="12" t="s">
        <v>24</v>
      </c>
      <c r="F59" s="12" t="s">
        <v>24</v>
      </c>
      <c r="G59" s="11">
        <v>605500</v>
      </c>
      <c r="H59" s="7"/>
    </row>
    <row r="60" spans="1:15" x14ac:dyDescent="0.15">
      <c r="A60" s="7" t="s">
        <v>140</v>
      </c>
      <c r="C60" s="12" t="s">
        <v>24</v>
      </c>
      <c r="D60" s="12" t="s">
        <v>24</v>
      </c>
      <c r="E60" s="12" t="s">
        <v>24</v>
      </c>
      <c r="F60" s="12" t="s">
        <v>24</v>
      </c>
      <c r="G60" s="11">
        <v>-444500</v>
      </c>
      <c r="H60" s="7"/>
    </row>
    <row r="61" spans="1:15" x14ac:dyDescent="0.15">
      <c r="A61" s="7" t="s">
        <v>139</v>
      </c>
      <c r="C61" s="12" t="s">
        <v>24</v>
      </c>
      <c r="D61" s="12" t="s">
        <v>24</v>
      </c>
      <c r="E61" s="12" t="s">
        <v>24</v>
      </c>
      <c r="F61" s="12" t="s">
        <v>24</v>
      </c>
      <c r="G61" s="11">
        <v>-5</v>
      </c>
      <c r="H61" s="7"/>
    </row>
    <row r="62" spans="1:15" x14ac:dyDescent="0.15">
      <c r="A62" s="7" t="s">
        <v>138</v>
      </c>
      <c r="B62" s="11">
        <v>200000</v>
      </c>
      <c r="C62" s="11">
        <v>852100</v>
      </c>
      <c r="D62" s="11">
        <v>3541200</v>
      </c>
      <c r="E62" s="11">
        <v>3712600</v>
      </c>
      <c r="F62" s="11">
        <v>4002800</v>
      </c>
      <c r="G62" s="12" t="s">
        <v>24</v>
      </c>
      <c r="H62" s="7"/>
      <c r="L62" s="13">
        <f>(C62-D62)/C62</f>
        <v>-3.1558502523178031</v>
      </c>
      <c r="M62" s="13">
        <f>(D62-E62)/D62</f>
        <v>-4.8401671749689373E-2</v>
      </c>
      <c r="N62" s="13">
        <f>(E62-F62)/E62</f>
        <v>-7.8166244680277969E-2</v>
      </c>
      <c r="O62" s="13" t="e">
        <f>(F62-G62)/F62</f>
        <v>#VALUE!</v>
      </c>
    </row>
    <row r="63" spans="1:15" x14ac:dyDescent="0.15">
      <c r="A63" s="7" t="s">
        <v>137</v>
      </c>
      <c r="B63" s="11">
        <v>-267600</v>
      </c>
      <c r="C63" s="11">
        <v>-1033400</v>
      </c>
      <c r="D63" s="11">
        <v>-3212700</v>
      </c>
      <c r="E63" s="11">
        <v>-4335700</v>
      </c>
      <c r="F63" s="11">
        <v>-2766900</v>
      </c>
      <c r="G63" s="12" t="s">
        <v>24</v>
      </c>
      <c r="H63" s="7"/>
      <c r="L63" s="13">
        <f>(C63-D63)/D63</f>
        <v>-0.67833909172969775</v>
      </c>
      <c r="M63" s="13">
        <f>(D63-E63)/E63</f>
        <v>-0.25901238554328021</v>
      </c>
      <c r="N63" s="13">
        <f>(E63-F63)/F63</f>
        <v>0.56698832628573492</v>
      </c>
      <c r="O63" s="13" t="e">
        <f>(F63-G63)/G63</f>
        <v>#VALUE!</v>
      </c>
    </row>
    <row r="64" spans="1:15" x14ac:dyDescent="0.15">
      <c r="A64" s="7" t="s">
        <v>136</v>
      </c>
      <c r="B64">
        <v>0</v>
      </c>
      <c r="C64" s="12" t="s">
        <v>24</v>
      </c>
      <c r="D64" s="12" t="s">
        <v>24</v>
      </c>
      <c r="E64" s="12" t="s">
        <v>24</v>
      </c>
      <c r="F64" s="12" t="s">
        <v>24</v>
      </c>
      <c r="G64" s="11">
        <v>24036</v>
      </c>
      <c r="H64" s="7"/>
    </row>
    <row r="65" spans="1:8" x14ac:dyDescent="0.15">
      <c r="A65" s="7" t="s">
        <v>135</v>
      </c>
      <c r="B65" s="11">
        <v>273700</v>
      </c>
      <c r="C65" s="11">
        <v>59000</v>
      </c>
      <c r="D65" s="11">
        <v>338100</v>
      </c>
      <c r="E65" s="11">
        <v>319700</v>
      </c>
      <c r="F65" s="11">
        <v>296000</v>
      </c>
      <c r="G65" s="11">
        <v>572572</v>
      </c>
      <c r="H65" s="7"/>
    </row>
    <row r="66" spans="1:8" x14ac:dyDescent="0.15">
      <c r="A66" s="7" t="s">
        <v>134</v>
      </c>
      <c r="B66" s="11">
        <v>-53000</v>
      </c>
      <c r="C66" s="11">
        <v>-293800</v>
      </c>
      <c r="D66" s="11">
        <v>-305400</v>
      </c>
      <c r="E66" s="11">
        <v>-332800</v>
      </c>
      <c r="F66" s="11">
        <v>-632600</v>
      </c>
      <c r="G66" s="11">
        <v>-483145</v>
      </c>
      <c r="H66" s="7"/>
    </row>
    <row r="67" spans="1:8" x14ac:dyDescent="0.15">
      <c r="A67" s="7" t="s">
        <v>1015</v>
      </c>
      <c r="B67" s="11">
        <v>118800</v>
      </c>
      <c r="C67" s="11"/>
      <c r="D67" s="11"/>
      <c r="E67" s="11"/>
      <c r="F67" s="11"/>
      <c r="G67" s="11"/>
      <c r="H67" s="7"/>
    </row>
    <row r="68" spans="1:8" x14ac:dyDescent="0.15">
      <c r="A68" s="7" t="s">
        <v>1016</v>
      </c>
      <c r="B68" s="11">
        <v>-22300</v>
      </c>
      <c r="C68" s="11"/>
      <c r="D68" s="11"/>
      <c r="E68" s="11"/>
      <c r="F68" s="11"/>
      <c r="G68" s="11"/>
      <c r="H68" s="7"/>
    </row>
    <row r="69" spans="1:8" x14ac:dyDescent="0.15">
      <c r="A69" s="7" t="s">
        <v>133</v>
      </c>
      <c r="B69" s="11">
        <v>0</v>
      </c>
      <c r="C69" s="12" t="s">
        <v>24</v>
      </c>
      <c r="D69" s="11">
        <v>-797300</v>
      </c>
      <c r="E69" s="12" t="s">
        <v>24</v>
      </c>
      <c r="F69" s="12" t="s">
        <v>24</v>
      </c>
      <c r="G69" s="12" t="s">
        <v>24</v>
      </c>
      <c r="H69" s="7"/>
    </row>
    <row r="70" spans="1:8" x14ac:dyDescent="0.15">
      <c r="A70" s="7" t="s">
        <v>132</v>
      </c>
      <c r="B70" s="11">
        <v>-2200</v>
      </c>
      <c r="C70" s="11">
        <v>-2600</v>
      </c>
      <c r="D70" s="12" t="s">
        <v>24</v>
      </c>
      <c r="E70" s="12" t="s">
        <v>24</v>
      </c>
      <c r="F70" s="12" t="s">
        <v>24</v>
      </c>
      <c r="G70" s="11">
        <v>-73180</v>
      </c>
      <c r="H70" s="7"/>
    </row>
    <row r="71" spans="1:8" x14ac:dyDescent="0.15">
      <c r="A71" s="7" t="s">
        <v>131</v>
      </c>
      <c r="B71" s="11">
        <v>0</v>
      </c>
      <c r="C71" s="12" t="s">
        <v>24</v>
      </c>
      <c r="D71" s="11">
        <v>-57400</v>
      </c>
      <c r="E71" s="12" t="s">
        <v>24</v>
      </c>
      <c r="F71" s="11">
        <v>-26800</v>
      </c>
      <c r="G71" s="11">
        <v>-47447</v>
      </c>
      <c r="H71" s="7"/>
    </row>
    <row r="72" spans="1:8" x14ac:dyDescent="0.15">
      <c r="A72" s="7" t="s">
        <v>130</v>
      </c>
      <c r="B72" s="11">
        <v>-3400</v>
      </c>
      <c r="C72" s="11">
        <v>-5700</v>
      </c>
      <c r="D72" s="11">
        <v>-3700</v>
      </c>
      <c r="E72" s="11">
        <v>-8200</v>
      </c>
      <c r="F72" s="11">
        <v>-6900</v>
      </c>
      <c r="G72" s="12" t="s">
        <v>24</v>
      </c>
      <c r="H72" s="7"/>
    </row>
    <row r="73" spans="1:8" x14ac:dyDescent="0.15">
      <c r="A73" s="7" t="s">
        <v>129</v>
      </c>
      <c r="B73" s="11">
        <v>1600</v>
      </c>
      <c r="C73" s="11">
        <v>1700</v>
      </c>
      <c r="D73" s="11">
        <v>8000</v>
      </c>
      <c r="E73" s="11">
        <v>44900</v>
      </c>
      <c r="F73" s="11">
        <v>25400</v>
      </c>
      <c r="G73" s="11">
        <v>6097</v>
      </c>
      <c r="H73" s="7"/>
    </row>
    <row r="74" spans="1:8" x14ac:dyDescent="0.15">
      <c r="A74" s="7" t="s">
        <v>128</v>
      </c>
      <c r="B74" s="18">
        <v>-7700</v>
      </c>
      <c r="C74" s="18">
        <v>-3400</v>
      </c>
      <c r="D74" s="18">
        <v>-10100</v>
      </c>
      <c r="E74" s="18">
        <v>-22900</v>
      </c>
      <c r="F74" s="18">
        <v>-40900</v>
      </c>
      <c r="G74" s="18">
        <v>-24205</v>
      </c>
      <c r="H74" s="7"/>
    </row>
    <row r="75" spans="1:8" x14ac:dyDescent="0.15">
      <c r="A75" s="50" t="s">
        <v>127</v>
      </c>
      <c r="B75" s="11">
        <v>237900</v>
      </c>
      <c r="C75" s="11">
        <v>-426100</v>
      </c>
      <c r="D75" s="11">
        <v>-499300</v>
      </c>
      <c r="E75" s="11">
        <v>-622400</v>
      </c>
      <c r="F75" s="11">
        <v>850100</v>
      </c>
      <c r="G75" s="11">
        <v>135723</v>
      </c>
      <c r="H75" s="7"/>
    </row>
    <row r="76" spans="1:8" x14ac:dyDescent="0.15">
      <c r="A76" s="7"/>
      <c r="C76" s="11"/>
      <c r="D76" s="11"/>
      <c r="E76" s="11"/>
      <c r="F76" s="11"/>
      <c r="G76" s="11"/>
      <c r="H76" s="7"/>
    </row>
    <row r="77" spans="1:8" x14ac:dyDescent="0.15">
      <c r="A77" s="7" t="s">
        <v>1017</v>
      </c>
      <c r="B77" s="11">
        <v>206300</v>
      </c>
      <c r="C77" s="11">
        <v>136800</v>
      </c>
      <c r="D77" s="11">
        <v>-193500</v>
      </c>
      <c r="E77" s="11">
        <v>59400</v>
      </c>
      <c r="F77" s="11">
        <v>263400</v>
      </c>
      <c r="G77" s="11">
        <v>-45347</v>
      </c>
      <c r="H77" s="7"/>
    </row>
    <row r="78" spans="1:8" x14ac:dyDescent="0.15">
      <c r="A78" s="7" t="s">
        <v>126</v>
      </c>
      <c r="B78" s="11">
        <v>4200</v>
      </c>
      <c r="C78" s="11">
        <v>-2900</v>
      </c>
      <c r="D78" s="11">
        <v>-300</v>
      </c>
      <c r="E78" s="11">
        <v>-3200</v>
      </c>
      <c r="F78" s="11">
        <v>800</v>
      </c>
      <c r="G78" s="11">
        <v>392</v>
      </c>
      <c r="H78" s="7"/>
    </row>
    <row r="79" spans="1:8" x14ac:dyDescent="0.15">
      <c r="A79" s="7" t="s">
        <v>125</v>
      </c>
      <c r="B79" s="18">
        <v>318200</v>
      </c>
      <c r="C79" s="18">
        <v>184300</v>
      </c>
      <c r="D79" s="18">
        <v>378100</v>
      </c>
      <c r="E79" s="18">
        <v>321900</v>
      </c>
      <c r="F79" s="18">
        <v>57700</v>
      </c>
      <c r="G79" s="18">
        <v>102697</v>
      </c>
      <c r="H79" s="7"/>
    </row>
    <row r="80" spans="1:8" x14ac:dyDescent="0.15">
      <c r="A80" s="7" t="s">
        <v>124</v>
      </c>
      <c r="B80" s="11">
        <v>528700</v>
      </c>
      <c r="C80" s="11">
        <v>318200</v>
      </c>
      <c r="D80" s="11">
        <v>184300</v>
      </c>
      <c r="E80" s="11">
        <v>378100</v>
      </c>
      <c r="F80" s="11">
        <v>321900</v>
      </c>
      <c r="G80" s="11">
        <v>57742</v>
      </c>
      <c r="H80" s="7"/>
    </row>
    <row r="81" spans="1:8" x14ac:dyDescent="0.15">
      <c r="A81" s="7"/>
      <c r="C81" s="12"/>
      <c r="D81" s="11"/>
      <c r="E81" s="12"/>
      <c r="F81" s="12"/>
      <c r="G81" s="12"/>
      <c r="H81" s="7"/>
    </row>
    <row r="82" spans="1:8" x14ac:dyDescent="0.15">
      <c r="A82" s="43" t="s">
        <v>123</v>
      </c>
      <c r="B82" s="11">
        <v>149700</v>
      </c>
      <c r="C82" s="11">
        <v>173800</v>
      </c>
      <c r="D82" s="11">
        <v>146700</v>
      </c>
      <c r="E82" s="11">
        <v>119700</v>
      </c>
      <c r="F82" s="11">
        <v>79800</v>
      </c>
      <c r="G82" s="11">
        <v>42700</v>
      </c>
      <c r="H82" s="7"/>
    </row>
    <row r="83" spans="1:8" x14ac:dyDescent="0.15">
      <c r="A83" s="7" t="s">
        <v>122</v>
      </c>
      <c r="B83" s="11">
        <v>-54000</v>
      </c>
      <c r="C83" s="11">
        <v>-5300</v>
      </c>
      <c r="D83" s="11">
        <v>13500</v>
      </c>
      <c r="E83" s="12" t="s">
        <v>24</v>
      </c>
      <c r="F83" s="11">
        <v>14300</v>
      </c>
      <c r="G83" s="11">
        <v>10200</v>
      </c>
      <c r="H83" s="7"/>
    </row>
    <row r="84" spans="1:8" x14ac:dyDescent="0.15">
      <c r="B84" s="12"/>
    </row>
    <row r="86" spans="1:8" x14ac:dyDescent="0.15">
      <c r="B86" s="12"/>
    </row>
    <row r="91" spans="1:8" ht="12" customHeight="1" x14ac:dyDescent="0.15"/>
  </sheetData>
  <sheetProtection formatCells="0" formatColumns="0" formatRows="0" insertColumns="0" insertRows="0" insertHyperlinks="0" deleteColumns="0" deleteRows="0" sort="0" autoFilter="0" pivotTables="0"/>
  <phoneticPr fontId="26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7976D-72AA-47AD-A96B-2C94E73DDDF9}">
  <dimension ref="A1:Q314"/>
  <sheetViews>
    <sheetView topLeftCell="A99" workbookViewId="0">
      <selection activeCell="A164" sqref="A164"/>
    </sheetView>
  </sheetViews>
  <sheetFormatPr baseColWidth="10" defaultColWidth="8.83203125" defaultRowHeight="13" x14ac:dyDescent="0.15"/>
  <cols>
    <col min="1" max="1" width="58.83203125" customWidth="1"/>
    <col min="2" max="3" width="16.1640625" customWidth="1"/>
    <col min="4" max="4" width="57.5" customWidth="1"/>
    <col min="5" max="5" width="15.83203125" hidden="1" customWidth="1"/>
    <col min="6" max="6" width="14.1640625" hidden="1" customWidth="1"/>
    <col min="7" max="7" width="15" hidden="1" customWidth="1"/>
    <col min="8" max="8" width="16.5" hidden="1" customWidth="1"/>
    <col min="9" max="10" width="14.1640625" hidden="1" customWidth="1"/>
    <col min="11" max="11" width="11.5" hidden="1" customWidth="1"/>
    <col min="12" max="12" width="0" hidden="1" customWidth="1"/>
    <col min="13" max="13" width="11.5" hidden="1" customWidth="1"/>
    <col min="14" max="14" width="0" hidden="1" customWidth="1"/>
    <col min="15" max="15" width="12.5" hidden="1" customWidth="1"/>
    <col min="16" max="16" width="0" hidden="1" customWidth="1"/>
    <col min="17" max="17" width="11.5" hidden="1" customWidth="1"/>
    <col min="18" max="19" width="0" hidden="1" customWidth="1"/>
  </cols>
  <sheetData>
    <row r="1" spans="1:7" ht="14" hidden="1" x14ac:dyDescent="0.15">
      <c r="B1" s="6" t="s">
        <v>5</v>
      </c>
      <c r="C1" s="6" t="s">
        <v>6</v>
      </c>
    </row>
    <row r="2" spans="1:7" ht="14" hidden="1" x14ac:dyDescent="0.15">
      <c r="B2" s="6" t="s">
        <v>11</v>
      </c>
      <c r="C2" s="6" t="s">
        <v>11</v>
      </c>
    </row>
    <row r="3" spans="1:7" ht="14" hidden="1" x14ac:dyDescent="0.15">
      <c r="B3" s="6" t="s">
        <v>13</v>
      </c>
      <c r="C3" s="6" t="s">
        <v>13</v>
      </c>
    </row>
    <row r="4" spans="1:7" ht="14" hidden="1" x14ac:dyDescent="0.15">
      <c r="B4" s="6" t="s">
        <v>15</v>
      </c>
      <c r="C4" s="6" t="s">
        <v>15</v>
      </c>
    </row>
    <row r="5" spans="1:7" ht="15" hidden="1" thickBot="1" x14ac:dyDescent="0.2">
      <c r="B5" s="6" t="s">
        <v>17</v>
      </c>
      <c r="C5" s="6" t="s">
        <v>17</v>
      </c>
      <c r="D5" s="64" t="s">
        <v>850</v>
      </c>
      <c r="E5" s="64" t="s">
        <v>851</v>
      </c>
    </row>
    <row r="6" spans="1:7" hidden="1" x14ac:dyDescent="0.15">
      <c r="A6" s="7" t="s">
        <v>115</v>
      </c>
      <c r="B6" s="11">
        <v>318200</v>
      </c>
      <c r="C6" s="11">
        <v>184300</v>
      </c>
      <c r="D6" s="218">
        <f>B6-C6</f>
        <v>133900</v>
      </c>
      <c r="E6" s="221">
        <f>(B6-C6)/C6</f>
        <v>0.72653282691264243</v>
      </c>
      <c r="F6" s="34"/>
    </row>
    <row r="7" spans="1:7" hidden="1" x14ac:dyDescent="0.15">
      <c r="A7" s="7" t="s">
        <v>114</v>
      </c>
      <c r="B7" s="12">
        <v>0</v>
      </c>
      <c r="C7" s="12">
        <v>0</v>
      </c>
      <c r="D7" s="219">
        <f t="shared" ref="D7:D69" si="0">B7-C7</f>
        <v>0</v>
      </c>
      <c r="E7" s="222"/>
      <c r="F7" s="34"/>
    </row>
    <row r="8" spans="1:7" hidden="1" x14ac:dyDescent="0.15">
      <c r="A8" s="43" t="s">
        <v>201</v>
      </c>
      <c r="B8" s="11">
        <v>565000</v>
      </c>
      <c r="C8" s="11">
        <v>687600</v>
      </c>
      <c r="D8" s="219">
        <f t="shared" si="0"/>
        <v>-122600</v>
      </c>
      <c r="E8" s="222">
        <f t="shared" ref="E8:E70" si="1">(B8-C8)/C8</f>
        <v>-0.17830133798720185</v>
      </c>
      <c r="F8" s="34"/>
    </row>
    <row r="9" spans="1:7" hidden="1" x14ac:dyDescent="0.15">
      <c r="A9" s="43" t="s">
        <v>202</v>
      </c>
      <c r="B9" s="11">
        <v>33700</v>
      </c>
      <c r="C9" s="11">
        <v>35000</v>
      </c>
      <c r="D9" s="219">
        <f t="shared" si="0"/>
        <v>-1300</v>
      </c>
      <c r="E9" s="222">
        <f t="shared" si="1"/>
        <v>-3.7142857142857144E-2</v>
      </c>
      <c r="F9" s="34"/>
    </row>
    <row r="10" spans="1:7" hidden="1" x14ac:dyDescent="0.15">
      <c r="A10" s="43" t="s">
        <v>203</v>
      </c>
      <c r="B10" s="18">
        <v>9300</v>
      </c>
      <c r="C10" s="18">
        <v>5400</v>
      </c>
      <c r="D10" s="219">
        <f t="shared" si="0"/>
        <v>3900</v>
      </c>
      <c r="E10" s="222">
        <f t="shared" si="1"/>
        <v>0.72222222222222221</v>
      </c>
      <c r="F10" s="34"/>
    </row>
    <row r="11" spans="1:7" hidden="1" x14ac:dyDescent="0.15">
      <c r="A11" s="7" t="s">
        <v>113</v>
      </c>
      <c r="B11" s="11">
        <v>522000</v>
      </c>
      <c r="C11" s="11">
        <v>647200</v>
      </c>
      <c r="D11" s="219">
        <f t="shared" si="0"/>
        <v>-125200</v>
      </c>
      <c r="E11" s="222">
        <f t="shared" si="1"/>
        <v>-0.1934487021013597</v>
      </c>
      <c r="F11" s="59"/>
    </row>
    <row r="12" spans="1:7" hidden="1" x14ac:dyDescent="0.15">
      <c r="A12" s="7" t="s">
        <v>112</v>
      </c>
      <c r="B12" s="11">
        <v>310500</v>
      </c>
      <c r="C12" s="11">
        <v>295700</v>
      </c>
      <c r="D12" s="219">
        <f t="shared" si="0"/>
        <v>14800</v>
      </c>
      <c r="E12" s="222">
        <f t="shared" si="1"/>
        <v>5.0050727088265135E-2</v>
      </c>
      <c r="F12" s="34"/>
    </row>
    <row r="13" spans="1:7" hidden="1" x14ac:dyDescent="0.15">
      <c r="A13" s="43" t="s">
        <v>199</v>
      </c>
      <c r="B13" s="11">
        <v>65700</v>
      </c>
      <c r="C13" s="11">
        <v>150600</v>
      </c>
      <c r="D13" s="219">
        <f>B13-C13</f>
        <v>-84900</v>
      </c>
      <c r="E13" s="222">
        <f t="shared" si="1"/>
        <v>-0.56374501992031878</v>
      </c>
      <c r="F13" s="34"/>
    </row>
    <row r="14" spans="1:7" hidden="1" x14ac:dyDescent="0.15">
      <c r="A14" s="43" t="s">
        <v>200</v>
      </c>
      <c r="B14" s="11">
        <f>'Bal. Sheet'!C24</f>
        <v>13400</v>
      </c>
      <c r="C14" s="11">
        <v>19900</v>
      </c>
      <c r="D14" s="219">
        <f>B14-C14</f>
        <v>-6500</v>
      </c>
      <c r="E14" s="222">
        <f t="shared" si="1"/>
        <v>-0.32663316582914576</v>
      </c>
      <c r="F14" s="34"/>
      <c r="G14" s="37"/>
    </row>
    <row r="15" spans="1:7" hidden="1" x14ac:dyDescent="0.15">
      <c r="A15" s="43" t="s">
        <v>196</v>
      </c>
      <c r="B15" s="18">
        <v>78300</v>
      </c>
      <c r="C15" s="18">
        <v>96700</v>
      </c>
      <c r="D15" s="219">
        <f>B15-C15</f>
        <v>-18400</v>
      </c>
      <c r="E15" s="222">
        <f t="shared" si="1"/>
        <v>-0.19027921406411583</v>
      </c>
      <c r="F15" s="34"/>
      <c r="G15" s="37"/>
    </row>
    <row r="16" spans="1:7" hidden="1" x14ac:dyDescent="0.15">
      <c r="A16" s="7" t="s">
        <v>111</v>
      </c>
      <c r="B16" s="18">
        <v>157400</v>
      </c>
      <c r="C16" s="18">
        <v>267200</v>
      </c>
      <c r="D16" s="219">
        <f>B16-C16</f>
        <v>-109800</v>
      </c>
      <c r="E16" s="222">
        <f t="shared" si="1"/>
        <v>-0.41092814371257486</v>
      </c>
      <c r="F16" s="59"/>
      <c r="G16" s="37"/>
    </row>
    <row r="17" spans="1:7" ht="14" hidden="1" thickBot="1" x14ac:dyDescent="0.2">
      <c r="A17" s="7" t="s">
        <v>110</v>
      </c>
      <c r="B17" s="11">
        <v>1308100</v>
      </c>
      <c r="C17" s="11">
        <v>1394400</v>
      </c>
      <c r="D17" s="220">
        <f t="shared" si="0"/>
        <v>-86300</v>
      </c>
      <c r="E17" s="223">
        <f t="shared" si="1"/>
        <v>-6.1890418818129664E-2</v>
      </c>
      <c r="F17" s="34"/>
      <c r="G17" s="37"/>
    </row>
    <row r="18" spans="1:7" ht="14" hidden="1" thickBot="1" x14ac:dyDescent="0.2">
      <c r="A18" s="7"/>
      <c r="B18" s="11"/>
      <c r="C18" s="11"/>
      <c r="D18" s="37"/>
      <c r="E18" s="13"/>
    </row>
    <row r="19" spans="1:7" hidden="1" x14ac:dyDescent="0.15">
      <c r="A19" s="7" t="s">
        <v>109</v>
      </c>
      <c r="B19" s="12">
        <v>0</v>
      </c>
      <c r="C19" s="12">
        <v>0</v>
      </c>
      <c r="D19" s="218">
        <f t="shared" si="0"/>
        <v>0</v>
      </c>
      <c r="E19" s="221"/>
    </row>
    <row r="20" spans="1:7" hidden="1" x14ac:dyDescent="0.15">
      <c r="A20" s="7" t="s">
        <v>108</v>
      </c>
      <c r="B20" s="11">
        <v>1517300</v>
      </c>
      <c r="C20" s="11">
        <v>1672000</v>
      </c>
      <c r="D20" s="219">
        <f t="shared" si="0"/>
        <v>-154700</v>
      </c>
      <c r="E20" s="222">
        <f t="shared" si="1"/>
        <v>-9.2523923444976078E-2</v>
      </c>
      <c r="F20" s="34"/>
    </row>
    <row r="21" spans="1:7" hidden="1" x14ac:dyDescent="0.15">
      <c r="A21" s="43" t="s">
        <v>184</v>
      </c>
      <c r="B21" s="11">
        <v>29700</v>
      </c>
      <c r="C21" s="11">
        <v>29100</v>
      </c>
      <c r="D21" s="219">
        <f t="shared" si="0"/>
        <v>600</v>
      </c>
      <c r="E21" s="222">
        <f t="shared" si="1"/>
        <v>2.0618556701030927E-2</v>
      </c>
      <c r="F21" s="34"/>
    </row>
    <row r="22" spans="1:7" hidden="1" x14ac:dyDescent="0.15">
      <c r="A22" s="43" t="s">
        <v>185</v>
      </c>
      <c r="B22" s="11">
        <v>50400</v>
      </c>
      <c r="C22" s="11">
        <v>50400</v>
      </c>
      <c r="D22" s="219">
        <f t="shared" si="0"/>
        <v>0</v>
      </c>
      <c r="E22" s="222">
        <f t="shared" si="1"/>
        <v>0</v>
      </c>
      <c r="F22" s="34"/>
    </row>
    <row r="23" spans="1:7" hidden="1" x14ac:dyDescent="0.15">
      <c r="A23" s="43" t="s">
        <v>186</v>
      </c>
      <c r="B23" s="11">
        <v>43400</v>
      </c>
      <c r="C23" s="11">
        <v>43200</v>
      </c>
      <c r="D23" s="219">
        <f t="shared" si="0"/>
        <v>200</v>
      </c>
      <c r="E23" s="222">
        <f t="shared" si="1"/>
        <v>4.6296296296296294E-3</v>
      </c>
      <c r="F23" s="34"/>
    </row>
    <row r="24" spans="1:7" hidden="1" x14ac:dyDescent="0.15">
      <c r="A24" s="43" t="s">
        <v>187</v>
      </c>
      <c r="B24" s="11">
        <v>25900</v>
      </c>
      <c r="C24" s="11">
        <v>25600</v>
      </c>
      <c r="D24" s="219">
        <f t="shared" si="0"/>
        <v>300</v>
      </c>
      <c r="E24" s="222">
        <f t="shared" si="1"/>
        <v>1.171875E-2</v>
      </c>
      <c r="F24" s="34"/>
    </row>
    <row r="25" spans="1:7" hidden="1" x14ac:dyDescent="0.15">
      <c r="A25" s="43" t="s">
        <v>188</v>
      </c>
      <c r="B25" s="18">
        <v>162400</v>
      </c>
      <c r="C25" s="18">
        <v>146800</v>
      </c>
      <c r="D25" s="219">
        <f t="shared" si="0"/>
        <v>15600</v>
      </c>
      <c r="E25" s="222">
        <f t="shared" si="1"/>
        <v>0.10626702997275204</v>
      </c>
      <c r="F25" s="34"/>
    </row>
    <row r="26" spans="1:7" hidden="1" x14ac:dyDescent="0.15">
      <c r="A26" s="43" t="s">
        <v>189</v>
      </c>
      <c r="B26" s="11">
        <v>311800</v>
      </c>
      <c r="C26" s="11">
        <v>295100</v>
      </c>
      <c r="D26" s="219">
        <f t="shared" si="0"/>
        <v>16700</v>
      </c>
      <c r="E26" s="222">
        <f t="shared" si="1"/>
        <v>5.659098610640461E-2</v>
      </c>
      <c r="F26" s="34"/>
    </row>
    <row r="27" spans="1:7" hidden="1" x14ac:dyDescent="0.15">
      <c r="A27" s="43" t="s">
        <v>190</v>
      </c>
      <c r="B27" s="18">
        <v>172100</v>
      </c>
      <c r="C27" s="18">
        <v>141000</v>
      </c>
      <c r="D27" s="219">
        <f t="shared" si="0"/>
        <v>31100</v>
      </c>
      <c r="E27" s="222">
        <f t="shared" si="1"/>
        <v>0.22056737588652484</v>
      </c>
      <c r="F27" s="34"/>
    </row>
    <row r="28" spans="1:7" hidden="1" x14ac:dyDescent="0.15">
      <c r="A28" s="43" t="s">
        <v>191</v>
      </c>
      <c r="B28" s="11">
        <v>139700</v>
      </c>
      <c r="C28" s="11">
        <v>154100</v>
      </c>
      <c r="D28" s="219">
        <f t="shared" si="0"/>
        <v>-14400</v>
      </c>
      <c r="E28" s="222">
        <f t="shared" si="1"/>
        <v>-9.3445814406229719E-2</v>
      </c>
      <c r="F28" s="34"/>
      <c r="G28" s="37"/>
    </row>
    <row r="29" spans="1:7" hidden="1" x14ac:dyDescent="0.15">
      <c r="A29" s="43" t="s">
        <v>192</v>
      </c>
      <c r="B29" s="18">
        <v>1200</v>
      </c>
      <c r="C29" s="18">
        <v>1200</v>
      </c>
      <c r="D29" s="219">
        <f t="shared" si="0"/>
        <v>0</v>
      </c>
      <c r="E29" s="222">
        <f t="shared" si="1"/>
        <v>0</v>
      </c>
      <c r="F29" s="34"/>
    </row>
    <row r="30" spans="1:7" hidden="1" x14ac:dyDescent="0.15">
      <c r="A30" s="7" t="s">
        <v>107</v>
      </c>
      <c r="B30" s="11">
        <v>140900</v>
      </c>
      <c r="C30" s="11">
        <v>155300</v>
      </c>
      <c r="D30" s="219">
        <f t="shared" si="0"/>
        <v>-14400</v>
      </c>
      <c r="E30" s="222">
        <f t="shared" si="1"/>
        <v>-9.2723760463618798E-2</v>
      </c>
      <c r="F30" s="59"/>
    </row>
    <row r="31" spans="1:7" hidden="1" x14ac:dyDescent="0.15">
      <c r="A31" s="7" t="s">
        <v>106</v>
      </c>
      <c r="B31" s="11">
        <v>40300</v>
      </c>
      <c r="C31" s="11">
        <v>26200</v>
      </c>
      <c r="D31" s="219">
        <f t="shared" si="0"/>
        <v>14100</v>
      </c>
      <c r="E31" s="222">
        <f t="shared" si="1"/>
        <v>0.53816793893129766</v>
      </c>
      <c r="F31" s="34"/>
    </row>
    <row r="32" spans="1:7" hidden="1" x14ac:dyDescent="0.15">
      <c r="A32" s="7" t="s">
        <v>105</v>
      </c>
      <c r="B32" s="11">
        <v>1719600</v>
      </c>
      <c r="C32" s="11">
        <v>1871600</v>
      </c>
      <c r="D32" s="219">
        <f t="shared" si="0"/>
        <v>-152000</v>
      </c>
      <c r="E32" s="222">
        <f t="shared" si="1"/>
        <v>-8.1213934601410562E-2</v>
      </c>
      <c r="F32" s="34"/>
    </row>
    <row r="33" spans="1:7" hidden="1" x14ac:dyDescent="0.15">
      <c r="A33" s="7" t="s">
        <v>104</v>
      </c>
      <c r="B33" s="11">
        <v>2833500</v>
      </c>
      <c r="C33" s="11">
        <v>2833500</v>
      </c>
      <c r="D33" s="219">
        <f t="shared" si="0"/>
        <v>0</v>
      </c>
      <c r="E33" s="222">
        <v>0</v>
      </c>
      <c r="F33" s="34"/>
    </row>
    <row r="34" spans="1:7" hidden="1" x14ac:dyDescent="0.15">
      <c r="A34" s="43" t="s">
        <v>193</v>
      </c>
      <c r="B34" s="12">
        <v>0</v>
      </c>
      <c r="C34" s="12">
        <v>0</v>
      </c>
      <c r="D34" s="219">
        <f t="shared" si="0"/>
        <v>0</v>
      </c>
      <c r="E34" s="222">
        <v>0</v>
      </c>
      <c r="F34" s="34"/>
    </row>
    <row r="35" spans="1:7" hidden="1" x14ac:dyDescent="0.15">
      <c r="A35" s="43" t="s">
        <v>194</v>
      </c>
      <c r="B35" s="11">
        <v>34300</v>
      </c>
      <c r="C35" s="11">
        <v>109200</v>
      </c>
      <c r="D35" s="219">
        <f t="shared" si="0"/>
        <v>-74900</v>
      </c>
      <c r="E35" s="222">
        <f t="shared" si="1"/>
        <v>-0.6858974358974359</v>
      </c>
      <c r="F35" s="34"/>
    </row>
    <row r="36" spans="1:7" hidden="1" x14ac:dyDescent="0.15">
      <c r="A36" s="43" t="s">
        <v>195</v>
      </c>
      <c r="B36" s="11">
        <v>53600</v>
      </c>
      <c r="C36" s="11">
        <v>176100</v>
      </c>
      <c r="D36" s="219">
        <f t="shared" si="0"/>
        <v>-122500</v>
      </c>
      <c r="E36" s="222">
        <f t="shared" si="1"/>
        <v>-0.69562748438387279</v>
      </c>
      <c r="F36" s="34"/>
    </row>
    <row r="37" spans="1:7" hidden="1" x14ac:dyDescent="0.15">
      <c r="A37" s="43" t="s">
        <v>196</v>
      </c>
      <c r="B37" s="11">
        <v>166700</v>
      </c>
      <c r="C37" s="11">
        <v>150800</v>
      </c>
      <c r="D37" s="219">
        <f t="shared" si="0"/>
        <v>15900</v>
      </c>
      <c r="E37" s="222">
        <f t="shared" si="1"/>
        <v>0.10543766578249338</v>
      </c>
      <c r="F37" s="34"/>
    </row>
    <row r="38" spans="1:7" hidden="1" x14ac:dyDescent="0.15">
      <c r="A38" s="43" t="s">
        <v>197</v>
      </c>
      <c r="B38" s="11">
        <v>136900</v>
      </c>
      <c r="C38" s="12">
        <v>0</v>
      </c>
      <c r="D38" s="219">
        <f t="shared" si="0"/>
        <v>136900</v>
      </c>
      <c r="E38" s="222">
        <v>1</v>
      </c>
      <c r="F38" s="34"/>
    </row>
    <row r="39" spans="1:7" hidden="1" x14ac:dyDescent="0.15">
      <c r="A39" s="43" t="s">
        <v>198</v>
      </c>
      <c r="B39" s="19">
        <v>0</v>
      </c>
      <c r="C39" s="19">
        <v>0</v>
      </c>
      <c r="D39" s="219">
        <f t="shared" si="0"/>
        <v>0</v>
      </c>
      <c r="E39" s="222">
        <v>0</v>
      </c>
      <c r="F39" s="34"/>
    </row>
    <row r="40" spans="1:7" hidden="1" x14ac:dyDescent="0.15">
      <c r="A40" s="7" t="s">
        <v>103</v>
      </c>
      <c r="B40" s="11">
        <v>391500</v>
      </c>
      <c r="C40" s="11">
        <v>436100</v>
      </c>
      <c r="D40" s="219">
        <f>B40-C40</f>
        <v>-44600</v>
      </c>
      <c r="E40" s="222">
        <f t="shared" si="1"/>
        <v>-0.10227012153175877</v>
      </c>
      <c r="F40" s="59"/>
      <c r="G40" s="37"/>
    </row>
    <row r="41" spans="1:7" hidden="1" x14ac:dyDescent="0.15">
      <c r="A41" s="7" t="s">
        <v>102</v>
      </c>
      <c r="B41" s="19">
        <v>0</v>
      </c>
      <c r="C41" s="18">
        <v>19800</v>
      </c>
      <c r="D41" s="219">
        <f t="shared" si="0"/>
        <v>-19800</v>
      </c>
      <c r="E41" s="222">
        <f t="shared" si="1"/>
        <v>-1</v>
      </c>
      <c r="F41" s="34"/>
    </row>
    <row r="42" spans="1:7" hidden="1" x14ac:dyDescent="0.15">
      <c r="A42" s="43" t="s">
        <v>315</v>
      </c>
      <c r="B42" s="103">
        <f>B20+SUM(B30:B33)+SUM(B40:B41)</f>
        <v>6643100</v>
      </c>
      <c r="C42" s="103">
        <f>C20+SUM(C30:C33)+SUM(C40:C41)</f>
        <v>7014500</v>
      </c>
      <c r="D42" s="219">
        <f t="shared" si="0"/>
        <v>-371400</v>
      </c>
      <c r="E42" s="222">
        <f t="shared" si="1"/>
        <v>-5.2947465963361605E-2</v>
      </c>
    </row>
    <row r="43" spans="1:7" ht="14" hidden="1" thickBot="1" x14ac:dyDescent="0.2">
      <c r="A43" s="7" t="s">
        <v>101</v>
      </c>
      <c r="B43" s="47">
        <v>7951200</v>
      </c>
      <c r="C43" s="47">
        <v>8408900</v>
      </c>
      <c r="D43" s="220">
        <f t="shared" si="0"/>
        <v>-457700</v>
      </c>
      <c r="E43" s="223">
        <f t="shared" si="1"/>
        <v>-5.4430424906943831E-2</v>
      </c>
    </row>
    <row r="44" spans="1:7" ht="15" hidden="1" thickTop="1" thickBot="1" x14ac:dyDescent="0.2">
      <c r="A44" s="7"/>
      <c r="B44" s="11"/>
      <c r="C44" s="11"/>
      <c r="D44" s="37"/>
      <c r="E44" s="13"/>
    </row>
    <row r="45" spans="1:7" hidden="1" x14ac:dyDescent="0.15">
      <c r="A45" s="7" t="s">
        <v>100</v>
      </c>
      <c r="B45" s="11">
        <v>526900</v>
      </c>
      <c r="C45" s="11">
        <v>531200</v>
      </c>
      <c r="D45" s="218">
        <f t="shared" si="0"/>
        <v>-4300</v>
      </c>
      <c r="E45" s="221">
        <f t="shared" si="1"/>
        <v>-8.0948795180722892E-3</v>
      </c>
      <c r="F45" s="34"/>
    </row>
    <row r="46" spans="1:7" hidden="1" x14ac:dyDescent="0.15">
      <c r="A46" s="7" t="s">
        <v>84</v>
      </c>
      <c r="B46" s="11">
        <v>441900</v>
      </c>
      <c r="C46" s="11">
        <v>408500</v>
      </c>
      <c r="D46" s="219">
        <f t="shared" si="0"/>
        <v>33400</v>
      </c>
      <c r="E46" s="222">
        <f t="shared" si="1"/>
        <v>8.1762545899632805E-2</v>
      </c>
      <c r="F46" s="34"/>
    </row>
    <row r="47" spans="1:7" hidden="1" x14ac:dyDescent="0.15">
      <c r="A47" s="7" t="s">
        <v>83</v>
      </c>
      <c r="B47" s="11">
        <v>353700</v>
      </c>
      <c r="C47" s="11">
        <v>512600</v>
      </c>
      <c r="D47" s="219">
        <f t="shared" si="0"/>
        <v>-158900</v>
      </c>
      <c r="E47" s="222">
        <f t="shared" si="1"/>
        <v>-0.30998829496683572</v>
      </c>
      <c r="F47" s="34"/>
    </row>
    <row r="48" spans="1:7" hidden="1" x14ac:dyDescent="0.15">
      <c r="A48" s="7" t="s">
        <v>99</v>
      </c>
      <c r="B48" s="11">
        <v>68600</v>
      </c>
      <c r="C48" s="11">
        <v>53600</v>
      </c>
      <c r="D48" s="219">
        <f t="shared" si="0"/>
        <v>15000</v>
      </c>
      <c r="E48" s="222">
        <f t="shared" si="1"/>
        <v>0.27985074626865669</v>
      </c>
      <c r="F48" s="34"/>
    </row>
    <row r="49" spans="1:6" hidden="1" x14ac:dyDescent="0.15">
      <c r="A49" s="7" t="s">
        <v>95</v>
      </c>
      <c r="B49" s="12">
        <v>0</v>
      </c>
      <c r="C49" s="12">
        <v>0</v>
      </c>
      <c r="D49" s="219">
        <f t="shared" si="0"/>
        <v>0</v>
      </c>
      <c r="E49" s="222">
        <v>0</v>
      </c>
      <c r="F49" s="34"/>
    </row>
    <row r="50" spans="1:6" hidden="1" x14ac:dyDescent="0.15">
      <c r="A50" s="7" t="s">
        <v>81</v>
      </c>
      <c r="B50" s="12">
        <v>0</v>
      </c>
      <c r="C50" s="12">
        <v>0</v>
      </c>
      <c r="D50" s="219">
        <f t="shared" si="0"/>
        <v>0</v>
      </c>
      <c r="E50" s="222">
        <v>0</v>
      </c>
      <c r="F50" s="34"/>
    </row>
    <row r="51" spans="1:6" hidden="1" x14ac:dyDescent="0.15">
      <c r="A51" s="7" t="s">
        <v>80</v>
      </c>
      <c r="B51" s="18">
        <v>116600</v>
      </c>
      <c r="C51" s="18">
        <v>146500</v>
      </c>
      <c r="D51" s="219">
        <f t="shared" si="0"/>
        <v>-29900</v>
      </c>
      <c r="E51" s="222">
        <f t="shared" si="1"/>
        <v>-0.20409556313993174</v>
      </c>
      <c r="F51" s="34"/>
    </row>
    <row r="52" spans="1:6" ht="14" hidden="1" thickBot="1" x14ac:dyDescent="0.2">
      <c r="A52" s="7" t="s">
        <v>98</v>
      </c>
      <c r="B52" s="11">
        <v>1507700</v>
      </c>
      <c r="C52" s="11">
        <v>1652400</v>
      </c>
      <c r="D52" s="220">
        <f t="shared" si="0"/>
        <v>-144700</v>
      </c>
      <c r="E52" s="223">
        <f t="shared" si="1"/>
        <v>-8.7569595739530381E-2</v>
      </c>
      <c r="F52" s="34"/>
    </row>
    <row r="53" spans="1:6" ht="14" hidden="1" thickBot="1" x14ac:dyDescent="0.2">
      <c r="A53" s="7"/>
      <c r="B53" s="11"/>
      <c r="C53" s="11"/>
      <c r="D53" s="37"/>
      <c r="E53" s="13"/>
    </row>
    <row r="54" spans="1:6" hidden="1" x14ac:dyDescent="0.15">
      <c r="A54" s="7" t="s">
        <v>94</v>
      </c>
      <c r="B54" s="12">
        <v>0</v>
      </c>
      <c r="C54" s="12">
        <v>0</v>
      </c>
      <c r="D54" s="218">
        <f t="shared" si="0"/>
        <v>0</v>
      </c>
      <c r="E54" s="221">
        <v>0</v>
      </c>
      <c r="F54" s="34"/>
    </row>
    <row r="55" spans="1:6" hidden="1" x14ac:dyDescent="0.15">
      <c r="A55" s="7" t="s">
        <v>86</v>
      </c>
      <c r="B55" s="11">
        <v>1677600</v>
      </c>
      <c r="C55" s="11">
        <v>1857500</v>
      </c>
      <c r="D55" s="219">
        <f t="shared" si="0"/>
        <v>-179900</v>
      </c>
      <c r="E55" s="222">
        <f t="shared" si="1"/>
        <v>-9.6850605652759089E-2</v>
      </c>
      <c r="F55" s="34"/>
    </row>
    <row r="56" spans="1:6" hidden="1" x14ac:dyDescent="0.15">
      <c r="A56" s="7" t="s">
        <v>97</v>
      </c>
      <c r="B56" s="18">
        <v>1064300</v>
      </c>
      <c r="C56" s="18">
        <v>1070000</v>
      </c>
      <c r="D56" s="219">
        <f t="shared" si="0"/>
        <v>-5700</v>
      </c>
      <c r="E56" s="222">
        <f t="shared" si="1"/>
        <v>-5.3271028037383174E-3</v>
      </c>
      <c r="F56" s="34"/>
    </row>
    <row r="57" spans="1:6" hidden="1" x14ac:dyDescent="0.15">
      <c r="A57" s="7" t="s">
        <v>96</v>
      </c>
      <c r="B57" s="11">
        <v>2741900</v>
      </c>
      <c r="C57" s="11">
        <v>2927500</v>
      </c>
      <c r="D57" s="219">
        <f t="shared" si="0"/>
        <v>-185600</v>
      </c>
      <c r="E57" s="222">
        <f t="shared" si="1"/>
        <v>-6.339880444064902E-2</v>
      </c>
      <c r="F57" s="34"/>
    </row>
    <row r="58" spans="1:6" hidden="1" x14ac:dyDescent="0.15">
      <c r="A58" s="7" t="s">
        <v>95</v>
      </c>
      <c r="B58" s="12">
        <v>0</v>
      </c>
      <c r="C58" s="12">
        <v>0</v>
      </c>
      <c r="D58" s="219">
        <f t="shared" si="0"/>
        <v>0</v>
      </c>
      <c r="E58" s="222">
        <v>0</v>
      </c>
      <c r="F58" s="34"/>
    </row>
    <row r="59" spans="1:6" hidden="1" x14ac:dyDescent="0.15">
      <c r="A59" s="7" t="s">
        <v>94</v>
      </c>
      <c r="B59" s="12">
        <v>0</v>
      </c>
      <c r="C59" s="11">
        <v>45400</v>
      </c>
      <c r="D59" s="219">
        <f t="shared" si="0"/>
        <v>-45400</v>
      </c>
      <c r="E59" s="222">
        <f t="shared" si="1"/>
        <v>-1</v>
      </c>
      <c r="F59" s="59"/>
    </row>
    <row r="60" spans="1:6" hidden="1" x14ac:dyDescent="0.15">
      <c r="A60" s="7" t="s">
        <v>93</v>
      </c>
      <c r="B60" s="18">
        <v>42400</v>
      </c>
      <c r="C60" s="44">
        <v>0</v>
      </c>
      <c r="D60" s="219">
        <f t="shared" si="0"/>
        <v>42400</v>
      </c>
      <c r="E60" s="222">
        <v>1</v>
      </c>
      <c r="F60" s="34"/>
    </row>
    <row r="61" spans="1:6" hidden="1" x14ac:dyDescent="0.15">
      <c r="A61" s="7" t="s">
        <v>92</v>
      </c>
      <c r="B61" s="11">
        <v>2784300</v>
      </c>
      <c r="C61" s="11">
        <v>2972900</v>
      </c>
      <c r="D61" s="219">
        <f t="shared" si="0"/>
        <v>-188600</v>
      </c>
      <c r="E61" s="222">
        <f t="shared" si="1"/>
        <v>-6.343973897541122E-2</v>
      </c>
      <c r="F61" s="59"/>
    </row>
    <row r="62" spans="1:6" hidden="1" x14ac:dyDescent="0.15">
      <c r="A62" s="7" t="s">
        <v>91</v>
      </c>
      <c r="B62" s="18">
        <v>-51300</v>
      </c>
      <c r="C62" s="18">
        <v>-68500</v>
      </c>
      <c r="D62" s="219">
        <f t="shared" si="0"/>
        <v>17200</v>
      </c>
      <c r="E62" s="222">
        <f>(B62-C62)/-C62</f>
        <v>0.25109489051094891</v>
      </c>
      <c r="F62" s="34"/>
    </row>
    <row r="63" spans="1:6" hidden="1" x14ac:dyDescent="0.15">
      <c r="A63" s="7" t="s">
        <v>90</v>
      </c>
      <c r="B63" s="11">
        <v>2733000</v>
      </c>
      <c r="C63" s="11">
        <v>2904400</v>
      </c>
      <c r="D63" s="219">
        <f t="shared" si="0"/>
        <v>-171400</v>
      </c>
      <c r="E63" s="222">
        <f t="shared" si="1"/>
        <v>-5.9013909929761743E-2</v>
      </c>
      <c r="F63" s="59"/>
    </row>
    <row r="64" spans="1:6" hidden="1" x14ac:dyDescent="0.15">
      <c r="A64" s="7" t="s">
        <v>89</v>
      </c>
      <c r="B64" s="18">
        <v>68600</v>
      </c>
      <c r="C64" s="18">
        <v>53600</v>
      </c>
      <c r="D64" s="219">
        <f t="shared" si="0"/>
        <v>15000</v>
      </c>
      <c r="E64" s="222">
        <f t="shared" si="1"/>
        <v>0.27985074626865669</v>
      </c>
      <c r="F64" s="59"/>
    </row>
    <row r="65" spans="1:10" hidden="1" x14ac:dyDescent="0.15">
      <c r="A65" s="7" t="s">
        <v>88</v>
      </c>
      <c r="B65" s="11">
        <v>2664400</v>
      </c>
      <c r="C65" s="11">
        <v>2850800</v>
      </c>
      <c r="D65" s="219">
        <f t="shared" si="0"/>
        <v>-186400</v>
      </c>
      <c r="E65" s="222">
        <f t="shared" si="1"/>
        <v>-6.5385155044198118E-2</v>
      </c>
      <c r="F65" s="59"/>
    </row>
    <row r="66" spans="1:10" hidden="1" x14ac:dyDescent="0.15">
      <c r="A66" s="7" t="s">
        <v>87</v>
      </c>
      <c r="B66" s="12">
        <v>0</v>
      </c>
      <c r="C66" s="12">
        <v>0</v>
      </c>
      <c r="D66" s="219">
        <f t="shared" si="0"/>
        <v>0</v>
      </c>
      <c r="E66" s="222">
        <v>0</v>
      </c>
      <c r="F66" s="59"/>
    </row>
    <row r="67" spans="1:10" hidden="1" x14ac:dyDescent="0.15">
      <c r="A67" s="7" t="s">
        <v>86</v>
      </c>
      <c r="B67" s="12">
        <v>0</v>
      </c>
      <c r="C67" s="12">
        <v>0</v>
      </c>
      <c r="D67" s="219">
        <f t="shared" si="0"/>
        <v>0</v>
      </c>
      <c r="E67" s="222">
        <v>0</v>
      </c>
      <c r="F67" s="59"/>
    </row>
    <row r="68" spans="1:10" hidden="1" x14ac:dyDescent="0.15">
      <c r="A68" s="7" t="s">
        <v>85</v>
      </c>
      <c r="B68" s="12">
        <v>0</v>
      </c>
      <c r="C68" s="12">
        <v>0</v>
      </c>
      <c r="D68" s="219">
        <f t="shared" si="0"/>
        <v>0</v>
      </c>
      <c r="E68" s="222">
        <v>0</v>
      </c>
      <c r="F68" s="59"/>
    </row>
    <row r="69" spans="1:10" hidden="1" x14ac:dyDescent="0.15">
      <c r="A69" s="7" t="s">
        <v>84</v>
      </c>
      <c r="B69" s="11">
        <v>421600</v>
      </c>
      <c r="C69" s="11">
        <v>479800</v>
      </c>
      <c r="D69" s="219">
        <f t="shared" si="0"/>
        <v>-58200</v>
      </c>
      <c r="E69" s="222">
        <f t="shared" si="1"/>
        <v>-0.12130054189245519</v>
      </c>
      <c r="F69" s="59"/>
    </row>
    <row r="70" spans="1:10" hidden="1" x14ac:dyDescent="0.15">
      <c r="A70" s="7" t="s">
        <v>83</v>
      </c>
      <c r="B70" s="11">
        <v>96900</v>
      </c>
      <c r="C70" s="11">
        <v>143100</v>
      </c>
      <c r="D70" s="219">
        <f>B70-C70</f>
        <v>-46200</v>
      </c>
      <c r="E70" s="222">
        <f t="shared" si="1"/>
        <v>-0.32285115303983231</v>
      </c>
      <c r="F70" s="59"/>
      <c r="G70" s="34"/>
      <c r="H70" s="37"/>
    </row>
    <row r="71" spans="1:10" hidden="1" x14ac:dyDescent="0.15">
      <c r="A71" s="7" t="s">
        <v>82</v>
      </c>
      <c r="B71" s="11">
        <v>334900</v>
      </c>
      <c r="C71" s="11">
        <v>114000</v>
      </c>
      <c r="D71" s="219">
        <f>B71-C71</f>
        <v>220900</v>
      </c>
      <c r="E71" s="222">
        <f t="shared" ref="E71:E87" si="2">(B71-C71)/C71</f>
        <v>1.937719298245614</v>
      </c>
      <c r="F71" s="59"/>
      <c r="G71" s="37"/>
    </row>
    <row r="72" spans="1:10" hidden="1" x14ac:dyDescent="0.15">
      <c r="A72" s="7" t="s">
        <v>81</v>
      </c>
      <c r="B72" s="12">
        <v>0</v>
      </c>
      <c r="C72" s="12">
        <v>0</v>
      </c>
      <c r="D72" s="219">
        <f t="shared" ref="D72:D89" si="3">B72-C72</f>
        <v>0</v>
      </c>
      <c r="E72" s="222">
        <v>0</v>
      </c>
      <c r="F72" s="59"/>
    </row>
    <row r="73" spans="1:10" hidden="1" x14ac:dyDescent="0.15">
      <c r="A73" s="7" t="s">
        <v>80</v>
      </c>
      <c r="B73" s="11">
        <v>61300</v>
      </c>
      <c r="C73" s="11">
        <v>62800</v>
      </c>
      <c r="D73" s="219">
        <f t="shared" si="3"/>
        <v>-1500</v>
      </c>
      <c r="E73" s="222">
        <f t="shared" si="2"/>
        <v>-2.3885350318471339E-2</v>
      </c>
      <c r="F73" s="59"/>
    </row>
    <row r="74" spans="1:10" hidden="1" x14ac:dyDescent="0.15">
      <c r="A74" s="7" t="s">
        <v>79</v>
      </c>
      <c r="B74" s="18">
        <v>36600</v>
      </c>
      <c r="C74" s="18">
        <v>56500</v>
      </c>
      <c r="D74" s="219">
        <f t="shared" si="3"/>
        <v>-19900</v>
      </c>
      <c r="E74" s="222">
        <f t="shared" si="2"/>
        <v>-0.35221238938053095</v>
      </c>
      <c r="F74" s="59"/>
      <c r="H74">
        <v>2020</v>
      </c>
      <c r="I74">
        <v>2019</v>
      </c>
    </row>
    <row r="75" spans="1:10" hidden="1" x14ac:dyDescent="0.15">
      <c r="A75" s="7" t="s">
        <v>78</v>
      </c>
      <c r="B75" s="12">
        <f>SUM(B65:B74)+B52+B76</f>
        <v>5291200</v>
      </c>
      <c r="C75" s="12">
        <f>SUM(C65:C74)+C52+C76</f>
        <v>5487000</v>
      </c>
      <c r="D75" s="219">
        <f t="shared" si="3"/>
        <v>-195800</v>
      </c>
      <c r="E75" s="222">
        <f t="shared" si="2"/>
        <v>-3.568434481501731E-2</v>
      </c>
      <c r="F75" s="59"/>
      <c r="G75" s="34" t="s">
        <v>889</v>
      </c>
      <c r="H75" s="37">
        <f>SUM(B65:B74)+B76</f>
        <v>3783500</v>
      </c>
      <c r="I75" s="37">
        <f>SUM(C65:C74)+C76</f>
        <v>3834600</v>
      </c>
      <c r="J75" s="37">
        <f>H75-I75</f>
        <v>-51100</v>
      </c>
    </row>
    <row r="76" spans="1:10" ht="14" hidden="1" thickBot="1" x14ac:dyDescent="0.2">
      <c r="A76" s="7" t="s">
        <v>77</v>
      </c>
      <c r="B76" s="11">
        <v>167800</v>
      </c>
      <c r="C76" s="11">
        <v>127600</v>
      </c>
      <c r="D76" s="220">
        <f t="shared" si="3"/>
        <v>40200</v>
      </c>
      <c r="E76" s="223">
        <f t="shared" si="2"/>
        <v>0.31504702194357365</v>
      </c>
      <c r="F76" s="59"/>
      <c r="G76" s="34"/>
      <c r="H76" s="37"/>
    </row>
    <row r="77" spans="1:10" ht="14" hidden="1" thickBot="1" x14ac:dyDescent="0.2">
      <c r="D77" s="37"/>
      <c r="E77" s="13"/>
      <c r="G77" s="34" t="s">
        <v>891</v>
      </c>
      <c r="H77" s="37">
        <f>B42-B20-B30</f>
        <v>4984900</v>
      </c>
      <c r="I77" s="37">
        <f>C42-C20-C30</f>
        <v>5187200</v>
      </c>
      <c r="J77" s="37">
        <f>H77-I77</f>
        <v>-202300</v>
      </c>
    </row>
    <row r="78" spans="1:10" hidden="1" x14ac:dyDescent="0.15">
      <c r="A78" s="7" t="s">
        <v>76</v>
      </c>
      <c r="B78" s="11">
        <v>659200</v>
      </c>
      <c r="C78" s="11">
        <v>649700</v>
      </c>
      <c r="D78" s="218">
        <f t="shared" si="3"/>
        <v>9500</v>
      </c>
      <c r="E78" s="221">
        <f t="shared" si="2"/>
        <v>1.4622133292288749E-2</v>
      </c>
      <c r="F78" s="59"/>
    </row>
    <row r="79" spans="1:10" hidden="1" x14ac:dyDescent="0.15">
      <c r="A79" s="7" t="s">
        <v>75</v>
      </c>
      <c r="B79" s="11">
        <v>2221700</v>
      </c>
      <c r="C79" s="11">
        <v>2140600</v>
      </c>
      <c r="D79" s="219">
        <f t="shared" si="3"/>
        <v>81100</v>
      </c>
      <c r="E79" s="222">
        <f>(B79-C79)/C79</f>
        <v>3.7886573857796882E-2</v>
      </c>
      <c r="F79" s="34"/>
      <c r="G79" s="37"/>
    </row>
    <row r="80" spans="1:10" hidden="1" x14ac:dyDescent="0.15">
      <c r="A80" s="7" t="s">
        <v>74</v>
      </c>
      <c r="B80" s="12">
        <v>0</v>
      </c>
      <c r="C80" s="12">
        <v>0</v>
      </c>
      <c r="D80" s="219">
        <f t="shared" si="3"/>
        <v>0</v>
      </c>
      <c r="E80" s="222">
        <v>0</v>
      </c>
    </row>
    <row r="81" spans="1:8" hidden="1" x14ac:dyDescent="0.15">
      <c r="A81" s="7" t="s">
        <v>73</v>
      </c>
      <c r="B81" s="11">
        <v>-16900</v>
      </c>
      <c r="C81" s="11">
        <v>208700</v>
      </c>
      <c r="D81" s="219">
        <f t="shared" si="3"/>
        <v>-225600</v>
      </c>
      <c r="E81" s="222">
        <f t="shared" si="2"/>
        <v>-1.0809774796358409</v>
      </c>
      <c r="F81" s="34"/>
    </row>
    <row r="82" spans="1:8" hidden="1" x14ac:dyDescent="0.15">
      <c r="A82" s="43" t="s">
        <v>205</v>
      </c>
      <c r="B82" s="11">
        <v>-18800</v>
      </c>
      <c r="C82" s="11">
        <v>-18200</v>
      </c>
      <c r="D82" s="219">
        <f t="shared" si="3"/>
        <v>-600</v>
      </c>
      <c r="E82" s="222">
        <f>(B82-C82)/-C82</f>
        <v>-3.2967032967032968E-2</v>
      </c>
    </row>
    <row r="83" spans="1:8" hidden="1" x14ac:dyDescent="0.15">
      <c r="A83" s="43" t="s">
        <v>204</v>
      </c>
      <c r="B83" s="18">
        <v>-187200</v>
      </c>
      <c r="C83" s="18">
        <v>-62100</v>
      </c>
      <c r="D83" s="219">
        <f t="shared" si="3"/>
        <v>-125100</v>
      </c>
      <c r="E83" s="222">
        <f>(B83-C83)/-C83</f>
        <v>-2.0144927536231885</v>
      </c>
      <c r="G83" s="37"/>
    </row>
    <row r="84" spans="1:8" hidden="1" x14ac:dyDescent="0.15">
      <c r="A84" s="7" t="s">
        <v>72</v>
      </c>
      <c r="B84" s="11">
        <v>-206000</v>
      </c>
      <c r="C84" s="11">
        <v>-80300</v>
      </c>
      <c r="D84" s="219">
        <f t="shared" si="3"/>
        <v>-125700</v>
      </c>
      <c r="E84" s="222">
        <f>(B84-C84)/-C84</f>
        <v>-1.5653798256537983</v>
      </c>
      <c r="F84" s="34"/>
    </row>
    <row r="85" spans="1:8" hidden="1" x14ac:dyDescent="0.15">
      <c r="A85" s="7" t="s">
        <v>71</v>
      </c>
      <c r="B85" s="11">
        <v>2658000</v>
      </c>
      <c r="C85" s="11">
        <v>2918700</v>
      </c>
      <c r="D85" s="219">
        <f t="shared" si="3"/>
        <v>-260700</v>
      </c>
      <c r="E85" s="222">
        <f t="shared" si="2"/>
        <v>-8.9320587932983864E-2</v>
      </c>
    </row>
    <row r="86" spans="1:8" hidden="1" x14ac:dyDescent="0.15">
      <c r="A86" s="7" t="s">
        <v>70</v>
      </c>
      <c r="B86" s="11">
        <v>2000</v>
      </c>
      <c r="C86" s="11">
        <v>3200</v>
      </c>
      <c r="D86" s="219">
        <f t="shared" si="3"/>
        <v>-1200</v>
      </c>
      <c r="E86" s="222">
        <f t="shared" si="2"/>
        <v>-0.375</v>
      </c>
      <c r="F86" s="34"/>
    </row>
    <row r="87" spans="1:8" hidden="1" x14ac:dyDescent="0.15">
      <c r="A87" s="7" t="s">
        <v>69</v>
      </c>
      <c r="B87" s="11">
        <v>2660000</v>
      </c>
      <c r="C87" s="11">
        <v>2921900</v>
      </c>
      <c r="D87" s="219">
        <f t="shared" si="3"/>
        <v>-261900</v>
      </c>
      <c r="E87" s="222">
        <f t="shared" si="2"/>
        <v>-8.9633457681645504E-2</v>
      </c>
    </row>
    <row r="88" spans="1:8" hidden="1" x14ac:dyDescent="0.15">
      <c r="A88" s="37"/>
      <c r="D88" s="219"/>
      <c r="E88" s="222"/>
    </row>
    <row r="89" spans="1:8" ht="14" hidden="1" thickBot="1" x14ac:dyDescent="0.2">
      <c r="A89" s="45" t="s">
        <v>206</v>
      </c>
      <c r="B89" s="46">
        <f>B87+B75</f>
        <v>7951200</v>
      </c>
      <c r="C89" s="46">
        <f>C87+C75</f>
        <v>8408900</v>
      </c>
      <c r="D89" s="220">
        <f t="shared" si="3"/>
        <v>-457700</v>
      </c>
      <c r="E89" s="223">
        <f>(B89-C89)/C89</f>
        <v>-5.4430424906943831E-2</v>
      </c>
    </row>
    <row r="90" spans="1:8" x14ac:dyDescent="0.15">
      <c r="D90" s="37"/>
    </row>
    <row r="92" spans="1:8" x14ac:dyDescent="0.15">
      <c r="B92" s="61" t="s">
        <v>852</v>
      </c>
    </row>
    <row r="93" spans="1:8" x14ac:dyDescent="0.15">
      <c r="B93" s="61" t="s">
        <v>853</v>
      </c>
    </row>
    <row r="94" spans="1:8" x14ac:dyDescent="0.15">
      <c r="B94" s="61" t="s">
        <v>854</v>
      </c>
      <c r="G94" t="s">
        <v>875</v>
      </c>
    </row>
    <row r="95" spans="1:8" x14ac:dyDescent="0.15">
      <c r="B95" s="61"/>
      <c r="G95" t="s">
        <v>876</v>
      </c>
      <c r="H95" t="s">
        <v>877</v>
      </c>
    </row>
    <row r="96" spans="1:8" x14ac:dyDescent="0.15">
      <c r="B96" s="64" t="s">
        <v>855</v>
      </c>
      <c r="C96" s="64" t="s">
        <v>856</v>
      </c>
      <c r="F96" s="34" t="s">
        <v>925</v>
      </c>
      <c r="G96" s="52" t="s">
        <v>878</v>
      </c>
      <c r="H96" s="52" t="s">
        <v>879</v>
      </c>
    </row>
    <row r="97" spans="1:10" x14ac:dyDescent="0.15">
      <c r="A97" s="34" t="s">
        <v>909</v>
      </c>
      <c r="B97" s="203">
        <f>'Inc Statement'!C64+'Cash Flow'!C19+'Cash Flow'!C20</f>
        <v>1716000</v>
      </c>
      <c r="C97" s="61"/>
      <c r="D97" s="34"/>
      <c r="F97" s="34" t="s">
        <v>926</v>
      </c>
      <c r="G97" s="52" t="s">
        <v>879</v>
      </c>
      <c r="H97" s="52" t="s">
        <v>878</v>
      </c>
    </row>
    <row r="98" spans="1:10" x14ac:dyDescent="0.15">
      <c r="A98" s="43" t="s">
        <v>908</v>
      </c>
      <c r="C98" s="204">
        <f>'Inc Statement'!C64-'Sources and Uses'!D81</f>
        <v>37200</v>
      </c>
      <c r="D98" s="34"/>
    </row>
    <row r="99" spans="1:10" ht="14" thickBot="1" x14ac:dyDescent="0.2">
      <c r="A99" s="43" t="s">
        <v>866</v>
      </c>
      <c r="B99" s="61"/>
      <c r="C99" s="203">
        <f>D30+'Cash Flow'!C19</f>
        <v>183300</v>
      </c>
      <c r="D99" s="34"/>
    </row>
    <row r="100" spans="1:10" ht="14" thickBot="1" x14ac:dyDescent="0.2">
      <c r="A100" s="34" t="s">
        <v>880</v>
      </c>
      <c r="B100" s="61"/>
      <c r="C100" s="203">
        <f>D20+'Cash Flow'!C20</f>
        <v>1552000</v>
      </c>
      <c r="D100" s="34"/>
      <c r="E100" s="34" t="s">
        <v>897</v>
      </c>
      <c r="F100" s="37">
        <f>B97-C98-C99-C100</f>
        <v>-56500</v>
      </c>
      <c r="H100" s="288" t="s">
        <v>903</v>
      </c>
      <c r="I100" s="289"/>
      <c r="J100" s="290"/>
    </row>
    <row r="101" spans="1:10" x14ac:dyDescent="0.15">
      <c r="B101" s="61"/>
      <c r="C101" s="61"/>
      <c r="E101" s="37"/>
      <c r="F101" s="37"/>
      <c r="H101" s="207"/>
      <c r="I101" s="208" t="s">
        <v>879</v>
      </c>
      <c r="J101" s="209" t="s">
        <v>895</v>
      </c>
    </row>
    <row r="102" spans="1:10" x14ac:dyDescent="0.15">
      <c r="A102" s="89" t="s">
        <v>654</v>
      </c>
      <c r="B102" s="34"/>
      <c r="C102" s="34"/>
      <c r="E102" s="37"/>
      <c r="H102" s="210" t="s">
        <v>887</v>
      </c>
      <c r="I102" s="211">
        <f>'Inc Statement'!C64+'Cash Flow'!C19+'Cash Flow'!C20</f>
        <v>1716000</v>
      </c>
      <c r="J102" s="212"/>
    </row>
    <row r="103" spans="1:10" x14ac:dyDescent="0.15">
      <c r="A103" s="43" t="s">
        <v>857</v>
      </c>
      <c r="B103" s="34"/>
      <c r="C103" s="59">
        <f>D6</f>
        <v>133900</v>
      </c>
      <c r="D103" s="34"/>
      <c r="F103" s="34"/>
      <c r="H103" s="213" t="s">
        <v>893</v>
      </c>
      <c r="I103" s="85"/>
      <c r="J103" s="214">
        <f>'Inc Statement'!C64-'Sources and Uses'!D81</f>
        <v>37200</v>
      </c>
    </row>
    <row r="104" spans="1:10" x14ac:dyDescent="0.15">
      <c r="A104" s="43" t="s">
        <v>225</v>
      </c>
      <c r="B104" s="59">
        <f>-D11</f>
        <v>125200</v>
      </c>
      <c r="D104" s="34"/>
      <c r="H104" s="210" t="s">
        <v>888</v>
      </c>
      <c r="I104" s="85"/>
      <c r="J104" s="214">
        <f>D30+'Cash Flow'!C19</f>
        <v>183300</v>
      </c>
    </row>
    <row r="105" spans="1:10" x14ac:dyDescent="0.15">
      <c r="A105" s="43" t="s">
        <v>858</v>
      </c>
      <c r="C105" s="59">
        <f>D12</f>
        <v>14800</v>
      </c>
      <c r="D105" s="34"/>
      <c r="E105" s="37"/>
      <c r="H105" s="210" t="s">
        <v>890</v>
      </c>
      <c r="I105" s="85"/>
      <c r="J105" s="214">
        <f>D20+'Cash Flow'!C20</f>
        <v>1552000</v>
      </c>
    </row>
    <row r="106" spans="1:10" x14ac:dyDescent="0.15">
      <c r="A106" s="43" t="s">
        <v>859</v>
      </c>
      <c r="B106" s="59">
        <f>-D13</f>
        <v>84900</v>
      </c>
      <c r="C106" s="59"/>
      <c r="D106" s="34"/>
      <c r="H106" s="207"/>
      <c r="I106" s="85"/>
      <c r="J106" s="212"/>
    </row>
    <row r="107" spans="1:10" x14ac:dyDescent="0.15">
      <c r="A107" s="43" t="s">
        <v>860</v>
      </c>
      <c r="B107" s="59">
        <f>-D14</f>
        <v>6500</v>
      </c>
      <c r="D107" s="34"/>
      <c r="H107" s="210" t="s">
        <v>882</v>
      </c>
      <c r="I107" s="211">
        <f>-D17</f>
        <v>86300</v>
      </c>
      <c r="J107" s="212"/>
    </row>
    <row r="108" spans="1:10" x14ac:dyDescent="0.15">
      <c r="A108" s="43" t="s">
        <v>881</v>
      </c>
      <c r="B108" s="59">
        <f>-D15</f>
        <v>18400</v>
      </c>
      <c r="C108" s="59"/>
      <c r="D108" s="34"/>
      <c r="H108" s="210" t="s">
        <v>883</v>
      </c>
      <c r="I108" s="211">
        <f>-J77</f>
        <v>202300</v>
      </c>
      <c r="J108" s="212"/>
    </row>
    <row r="109" spans="1:10" x14ac:dyDescent="0.15">
      <c r="A109" s="7"/>
      <c r="B109" s="59"/>
      <c r="E109" s="34" t="s">
        <v>896</v>
      </c>
      <c r="F109" s="37">
        <f>B104-C103+B106+B107+B108-C105</f>
        <v>86300</v>
      </c>
      <c r="H109" s="210" t="s">
        <v>884</v>
      </c>
      <c r="I109" s="85"/>
      <c r="J109" s="214">
        <f>-D52</f>
        <v>144700</v>
      </c>
    </row>
    <row r="110" spans="1:10" x14ac:dyDescent="0.15">
      <c r="A110" s="48" t="s">
        <v>861</v>
      </c>
      <c r="B110" s="34"/>
      <c r="C110" s="34"/>
      <c r="H110" s="210" t="s">
        <v>885</v>
      </c>
      <c r="I110" s="85"/>
      <c r="J110" s="214">
        <f>-J75</f>
        <v>51100</v>
      </c>
    </row>
    <row r="111" spans="1:10" x14ac:dyDescent="0.15">
      <c r="A111" s="43" t="s">
        <v>867</v>
      </c>
      <c r="B111" s="34"/>
      <c r="C111" s="59">
        <f>D31</f>
        <v>14100</v>
      </c>
      <c r="D111" s="34"/>
      <c r="H111" s="210" t="s">
        <v>886</v>
      </c>
      <c r="I111" s="85"/>
      <c r="J111" s="214">
        <f>-D87+D81</f>
        <v>36300</v>
      </c>
    </row>
    <row r="112" spans="1:10" x14ac:dyDescent="0.15">
      <c r="A112" s="43" t="s">
        <v>868</v>
      </c>
      <c r="B112" s="59">
        <f>-D32</f>
        <v>152000</v>
      </c>
      <c r="D112" s="34"/>
      <c r="H112" s="207"/>
      <c r="I112" s="85"/>
      <c r="J112" s="212"/>
    </row>
    <row r="113" spans="1:10" ht="14" thickBot="1" x14ac:dyDescent="0.2">
      <c r="A113" s="43" t="s">
        <v>874</v>
      </c>
      <c r="B113" s="59">
        <f>D33</f>
        <v>0</v>
      </c>
      <c r="C113" s="34"/>
      <c r="D113" s="34"/>
      <c r="H113" s="215"/>
      <c r="I113" s="216">
        <f>SUM(I102:I111)</f>
        <v>2004600</v>
      </c>
      <c r="J113" s="217">
        <f>SUM(J102:J111)</f>
        <v>2004600</v>
      </c>
    </row>
    <row r="114" spans="1:10" x14ac:dyDescent="0.15">
      <c r="A114" s="43" t="s">
        <v>869</v>
      </c>
      <c r="B114" s="59">
        <f>-D35</f>
        <v>74900</v>
      </c>
      <c r="D114" s="34"/>
      <c r="E114" s="37"/>
      <c r="H114" s="37"/>
      <c r="I114" s="37"/>
    </row>
    <row r="115" spans="1:10" x14ac:dyDescent="0.15">
      <c r="A115" s="43" t="s">
        <v>870</v>
      </c>
      <c r="B115" s="59">
        <f>-D36</f>
        <v>122500</v>
      </c>
      <c r="C115" s="34"/>
      <c r="D115" s="34"/>
      <c r="E115" s="37"/>
      <c r="H115" s="59" t="s">
        <v>902</v>
      </c>
      <c r="I115" s="37"/>
    </row>
    <row r="116" spans="1:10" x14ac:dyDescent="0.15">
      <c r="A116" s="43" t="s">
        <v>871</v>
      </c>
      <c r="C116" s="59">
        <f>D37</f>
        <v>15900</v>
      </c>
      <c r="D116" s="34"/>
      <c r="E116" s="37"/>
    </row>
    <row r="117" spans="1:10" x14ac:dyDescent="0.15">
      <c r="A117" s="43" t="s">
        <v>872</v>
      </c>
      <c r="B117" s="34"/>
      <c r="C117" s="59">
        <f>D38</f>
        <v>136900</v>
      </c>
      <c r="D117" s="34"/>
      <c r="E117" s="37"/>
    </row>
    <row r="118" spans="1:10" x14ac:dyDescent="0.15">
      <c r="A118" s="43" t="s">
        <v>873</v>
      </c>
      <c r="B118" s="59">
        <f>-D41</f>
        <v>19800</v>
      </c>
      <c r="D118" s="34"/>
      <c r="E118" s="34" t="s">
        <v>898</v>
      </c>
      <c r="F118" s="37">
        <f>B112+B114+B115+B118-C111-C116-C117</f>
        <v>202300</v>
      </c>
    </row>
    <row r="119" spans="1:10" x14ac:dyDescent="0.15">
      <c r="B119" s="34"/>
      <c r="C119" s="34"/>
    </row>
    <row r="120" spans="1:10" x14ac:dyDescent="0.15">
      <c r="B120" s="34"/>
      <c r="C120" s="34"/>
    </row>
    <row r="121" spans="1:10" x14ac:dyDescent="0.15">
      <c r="B121" s="34"/>
      <c r="C121" s="34"/>
    </row>
    <row r="122" spans="1:10" x14ac:dyDescent="0.15">
      <c r="A122" s="48" t="s">
        <v>655</v>
      </c>
      <c r="B122" s="34"/>
      <c r="C122" s="34"/>
    </row>
    <row r="123" spans="1:10" x14ac:dyDescent="0.15">
      <c r="A123" s="7" t="s">
        <v>100</v>
      </c>
      <c r="C123" s="59">
        <f>-D45</f>
        <v>4300</v>
      </c>
      <c r="D123" s="34"/>
    </row>
    <row r="124" spans="1:10" x14ac:dyDescent="0.15">
      <c r="A124" s="7" t="s">
        <v>84</v>
      </c>
      <c r="B124" s="59">
        <f>D46</f>
        <v>33400</v>
      </c>
      <c r="C124" s="34"/>
      <c r="D124" s="34"/>
      <c r="E124" s="34" t="s">
        <v>899</v>
      </c>
      <c r="F124" s="37">
        <f>B124+B126-C123-C125-C127</f>
        <v>-144700</v>
      </c>
    </row>
    <row r="125" spans="1:10" x14ac:dyDescent="0.15">
      <c r="A125" s="7" t="s">
        <v>83</v>
      </c>
      <c r="B125" s="34"/>
      <c r="C125" s="59">
        <f>-D47</f>
        <v>158900</v>
      </c>
      <c r="D125" s="59"/>
    </row>
    <row r="126" spans="1:10" x14ac:dyDescent="0.15">
      <c r="A126" s="7" t="s">
        <v>99</v>
      </c>
      <c r="B126" s="59">
        <f>D48</f>
        <v>15000</v>
      </c>
      <c r="C126" s="34"/>
      <c r="D126" s="59"/>
    </row>
    <row r="127" spans="1:10" x14ac:dyDescent="0.15">
      <c r="A127" s="7" t="s">
        <v>80</v>
      </c>
      <c r="B127" s="34"/>
      <c r="C127" s="59">
        <f>-D51</f>
        <v>29900</v>
      </c>
      <c r="D127" s="34"/>
    </row>
    <row r="128" spans="1:10" x14ac:dyDescent="0.15">
      <c r="A128" s="7"/>
      <c r="B128" s="34"/>
      <c r="C128" s="34"/>
    </row>
    <row r="129" spans="1:7" x14ac:dyDescent="0.15">
      <c r="A129" s="48" t="s">
        <v>862</v>
      </c>
      <c r="B129" s="34"/>
      <c r="C129" s="34"/>
    </row>
    <row r="130" spans="1:7" x14ac:dyDescent="0.15">
      <c r="A130" s="7" t="s">
        <v>88</v>
      </c>
      <c r="B130" s="34"/>
      <c r="C130" s="59">
        <f>-D65</f>
        <v>186400</v>
      </c>
      <c r="D130" s="34"/>
      <c r="E130" s="34" t="s">
        <v>900</v>
      </c>
      <c r="F130" s="37">
        <f>B133+B136-SUM(C130:C135)</f>
        <v>-51100</v>
      </c>
    </row>
    <row r="131" spans="1:7" x14ac:dyDescent="0.15">
      <c r="A131" s="7" t="s">
        <v>84</v>
      </c>
      <c r="C131" s="59">
        <f>-D69</f>
        <v>58200</v>
      </c>
      <c r="D131" s="34"/>
    </row>
    <row r="132" spans="1:7" x14ac:dyDescent="0.15">
      <c r="A132" s="7" t="s">
        <v>83</v>
      </c>
      <c r="C132" s="59">
        <f>-D70</f>
        <v>46200</v>
      </c>
      <c r="D132" s="34"/>
      <c r="E132" s="34"/>
    </row>
    <row r="133" spans="1:7" x14ac:dyDescent="0.15">
      <c r="A133" s="7" t="s">
        <v>82</v>
      </c>
      <c r="B133" s="59">
        <f>D71</f>
        <v>220900</v>
      </c>
      <c r="C133" s="34"/>
      <c r="D133" s="34"/>
    </row>
    <row r="134" spans="1:7" x14ac:dyDescent="0.15">
      <c r="A134" s="7" t="s">
        <v>80</v>
      </c>
      <c r="C134" s="59">
        <f>-D73</f>
        <v>1500</v>
      </c>
      <c r="D134" s="34"/>
    </row>
    <row r="135" spans="1:7" x14ac:dyDescent="0.15">
      <c r="A135" s="7" t="s">
        <v>79</v>
      </c>
      <c r="B135" s="34"/>
      <c r="C135" s="59">
        <f>-D74</f>
        <v>19900</v>
      </c>
      <c r="D135" s="34"/>
    </row>
    <row r="136" spans="1:7" x14ac:dyDescent="0.15">
      <c r="A136" s="7" t="s">
        <v>77</v>
      </c>
      <c r="B136" s="59">
        <f>D76</f>
        <v>40200</v>
      </c>
      <c r="D136" s="59"/>
    </row>
    <row r="137" spans="1:7" x14ac:dyDescent="0.15">
      <c r="B137" s="34"/>
      <c r="C137" s="34"/>
      <c r="D137" s="37"/>
    </row>
    <row r="138" spans="1:7" x14ac:dyDescent="0.15">
      <c r="A138" s="48" t="s">
        <v>863</v>
      </c>
      <c r="B138" s="34"/>
      <c r="C138" s="34"/>
    </row>
    <row r="139" spans="1:7" x14ac:dyDescent="0.15">
      <c r="A139" s="43" t="s">
        <v>864</v>
      </c>
      <c r="B139" s="59">
        <f>D78+D79</f>
        <v>90600</v>
      </c>
      <c r="C139" s="34"/>
      <c r="D139" s="34"/>
      <c r="E139" s="34" t="s">
        <v>901</v>
      </c>
      <c r="F139" s="37">
        <f>B139-SUM(C140:C141)</f>
        <v>-36300</v>
      </c>
    </row>
    <row r="140" spans="1:7" x14ac:dyDescent="0.15">
      <c r="A140" s="7" t="s">
        <v>72</v>
      </c>
      <c r="B140" s="34"/>
      <c r="C140" s="59">
        <f>-D84</f>
        <v>125700</v>
      </c>
      <c r="D140" s="34"/>
    </row>
    <row r="141" spans="1:7" x14ac:dyDescent="0.15">
      <c r="A141" s="7" t="s">
        <v>70</v>
      </c>
      <c r="C141" s="59">
        <f>-D86</f>
        <v>1200</v>
      </c>
      <c r="D141" s="34"/>
      <c r="E141" s="34"/>
    </row>
    <row r="142" spans="1:7" x14ac:dyDescent="0.15">
      <c r="A142" s="7"/>
      <c r="B142" s="34"/>
      <c r="C142" s="34"/>
    </row>
    <row r="143" spans="1:7" ht="14" thickBot="1" x14ac:dyDescent="0.2">
      <c r="A143" s="50" t="s">
        <v>865</v>
      </c>
      <c r="B143" s="205">
        <f>SUM(B97:B141)</f>
        <v>2720300</v>
      </c>
      <c r="C143" s="206">
        <f>SUM(C97:C141)</f>
        <v>2720300</v>
      </c>
      <c r="D143" s="37"/>
      <c r="F143" s="37"/>
      <c r="G143" s="34"/>
    </row>
    <row r="144" spans="1:7" ht="14" thickTop="1" x14ac:dyDescent="0.15">
      <c r="A144" s="37"/>
      <c r="B144" s="37"/>
      <c r="C144" s="37"/>
    </row>
    <row r="145" spans="1:17" x14ac:dyDescent="0.15">
      <c r="B145" s="37"/>
      <c r="C145" s="37"/>
    </row>
    <row r="146" spans="1:17" x14ac:dyDescent="0.15">
      <c r="B146" s="61" t="s">
        <v>852</v>
      </c>
    </row>
    <row r="147" spans="1:17" x14ac:dyDescent="0.15">
      <c r="B147" s="61" t="s">
        <v>904</v>
      </c>
    </row>
    <row r="148" spans="1:17" x14ac:dyDescent="0.15">
      <c r="B148" s="61" t="s">
        <v>854</v>
      </c>
    </row>
    <row r="149" spans="1:17" x14ac:dyDescent="0.15">
      <c r="I149" s="34" t="s">
        <v>887</v>
      </c>
      <c r="K149" s="34" t="s">
        <v>907</v>
      </c>
      <c r="M149" s="34" t="s">
        <v>911</v>
      </c>
      <c r="O149" s="34" t="s">
        <v>913</v>
      </c>
      <c r="Q149" s="34" t="s">
        <v>924</v>
      </c>
    </row>
    <row r="150" spans="1:17" ht="14" thickBot="1" x14ac:dyDescent="0.2">
      <c r="B150" s="64" t="s">
        <v>905</v>
      </c>
      <c r="C150" s="64" t="s">
        <v>906</v>
      </c>
      <c r="I150" s="37">
        <f>B97</f>
        <v>1716000</v>
      </c>
      <c r="K150" s="37">
        <f>B106</f>
        <v>84900</v>
      </c>
      <c r="M150" s="37">
        <f>B139</f>
        <v>90600</v>
      </c>
      <c r="O150" s="37">
        <f>B114</f>
        <v>74900</v>
      </c>
      <c r="Q150" s="37">
        <f>B108</f>
        <v>18400</v>
      </c>
    </row>
    <row r="151" spans="1:17" ht="14" thickBot="1" x14ac:dyDescent="0.2">
      <c r="A151" s="238" t="str">
        <f>A97</f>
        <v xml:space="preserve"> Funds provided by operations</v>
      </c>
      <c r="B151" s="239">
        <f>C151</f>
        <v>1552000</v>
      </c>
      <c r="C151" s="239">
        <f>C100</f>
        <v>1552000</v>
      </c>
      <c r="D151" s="240" t="str">
        <f>A100</f>
        <v xml:space="preserve">  Investment in film/tv programs &amp; program rights</v>
      </c>
      <c r="E151" s="37"/>
      <c r="I151" s="224">
        <f>B151</f>
        <v>1552000</v>
      </c>
      <c r="K151" s="224">
        <f>B155</f>
        <v>8700</v>
      </c>
      <c r="M151" s="224">
        <f>B153</f>
        <v>19300</v>
      </c>
      <c r="O151" s="224">
        <f>B161</f>
        <v>14100</v>
      </c>
      <c r="Q151" s="224">
        <f>B162</f>
        <v>15900</v>
      </c>
    </row>
    <row r="152" spans="1:17" x14ac:dyDescent="0.15">
      <c r="A152" s="241" t="str">
        <f>A151</f>
        <v xml:space="preserve"> Funds provided by operations</v>
      </c>
      <c r="B152" s="242">
        <f>I152</f>
        <v>164000</v>
      </c>
      <c r="C152" s="242">
        <f>C99</f>
        <v>183300</v>
      </c>
      <c r="D152" s="243" t="str">
        <f>A99</f>
        <v xml:space="preserve">  Property &amp; equipment, net</v>
      </c>
      <c r="I152" s="37">
        <f>I150-I151</f>
        <v>164000</v>
      </c>
      <c r="K152" s="37">
        <f>K150-K151</f>
        <v>76200</v>
      </c>
      <c r="M152" s="37">
        <f>M150-M151</f>
        <v>71300</v>
      </c>
      <c r="O152" s="37">
        <f>O150-O151</f>
        <v>60800</v>
      </c>
      <c r="Q152" s="37">
        <f>Q150-Q151</f>
        <v>2500</v>
      </c>
    </row>
    <row r="153" spans="1:17" ht="14" thickBot="1" x14ac:dyDescent="0.2">
      <c r="A153" s="244" t="s">
        <v>910</v>
      </c>
      <c r="B153" s="216">
        <f>C152-B152</f>
        <v>19300</v>
      </c>
      <c r="C153" s="216"/>
      <c r="D153" s="246"/>
      <c r="E153" s="34"/>
      <c r="I153" s="224">
        <f>B152</f>
        <v>164000</v>
      </c>
      <c r="K153" s="224">
        <f>B164</f>
        <v>76200</v>
      </c>
      <c r="M153" s="224">
        <f>B156</f>
        <v>14800</v>
      </c>
      <c r="O153" s="224">
        <f>B159</f>
        <v>45000</v>
      </c>
      <c r="Q153" s="224">
        <f>B177</f>
        <v>2500</v>
      </c>
    </row>
    <row r="154" spans="1:17" x14ac:dyDescent="0.15">
      <c r="A154" s="241" t="str">
        <f>A104</f>
        <v xml:space="preserve">  Accounts receivable, net</v>
      </c>
      <c r="B154" s="242">
        <f>B104</f>
        <v>125200</v>
      </c>
      <c r="C154" s="242">
        <f>C103</f>
        <v>133900</v>
      </c>
      <c r="D154" s="243" t="str">
        <f>A103</f>
        <v xml:space="preserve">  Cash &amp; cash equivalents</v>
      </c>
      <c r="H154" s="37"/>
      <c r="I154" s="37">
        <f>I152-I153</f>
        <v>0</v>
      </c>
      <c r="K154" s="37">
        <f>K152-K153</f>
        <v>0</v>
      </c>
      <c r="M154" s="37">
        <f>M152-M153</f>
        <v>56500</v>
      </c>
      <c r="O154" s="37">
        <f>O152-O153</f>
        <v>15800</v>
      </c>
      <c r="Q154" s="37">
        <f>Q152-Q153</f>
        <v>0</v>
      </c>
    </row>
    <row r="155" spans="1:17" ht="14" thickBot="1" x14ac:dyDescent="0.2">
      <c r="A155" s="247" t="str">
        <f>A106</f>
        <v xml:space="preserve">  Prepaid expenses &amp; other current assets (other assets)</v>
      </c>
      <c r="B155" s="216">
        <f>C154-B154</f>
        <v>8700</v>
      </c>
      <c r="C155" s="216"/>
      <c r="D155" s="246"/>
      <c r="M155" s="224">
        <f>B160</f>
        <v>3900</v>
      </c>
      <c r="O155" s="224">
        <f>B163</f>
        <v>15800</v>
      </c>
    </row>
    <row r="156" spans="1:17" ht="14" thickBot="1" x14ac:dyDescent="0.2">
      <c r="A156" s="248" t="str">
        <f>A155</f>
        <v xml:space="preserve">  Prepaid expenses &amp; other current assets (other assets)</v>
      </c>
      <c r="B156" s="239">
        <f>C156</f>
        <v>14800</v>
      </c>
      <c r="C156" s="239">
        <f>C105</f>
        <v>14800</v>
      </c>
      <c r="D156" s="240" t="s">
        <v>912</v>
      </c>
      <c r="M156" s="37">
        <f>M154-M155</f>
        <v>52600</v>
      </c>
      <c r="O156" s="37">
        <f>O154-O155</f>
        <v>0</v>
      </c>
    </row>
    <row r="157" spans="1:17" x14ac:dyDescent="0.15">
      <c r="A157" s="241" t="str">
        <f>A126</f>
        <v>Debt - short term portion</v>
      </c>
      <c r="B157" s="242">
        <f>B126</f>
        <v>15000</v>
      </c>
      <c r="C157" s="242">
        <f>C130</f>
        <v>186400</v>
      </c>
      <c r="D157" s="249" t="str">
        <f>A130</f>
        <v>Debt</v>
      </c>
      <c r="M157" s="224">
        <f>B174</f>
        <v>46200</v>
      </c>
    </row>
    <row r="158" spans="1:17" x14ac:dyDescent="0.15">
      <c r="A158" s="207" t="str">
        <f>A115</f>
        <v xml:space="preserve">  Accounts receivable (Other LT assets)</v>
      </c>
      <c r="B158" s="211">
        <f>B115</f>
        <v>122500</v>
      </c>
      <c r="C158" s="211"/>
      <c r="D158" s="212"/>
      <c r="I158" s="37"/>
      <c r="M158" s="37">
        <f>M156-M157</f>
        <v>6400</v>
      </c>
    </row>
    <row r="159" spans="1:17" x14ac:dyDescent="0.15">
      <c r="A159" s="207" t="str">
        <f>A114</f>
        <v xml:space="preserve">  Prepaid expenses &amp; other assets (Other LT assets)</v>
      </c>
      <c r="B159" s="211">
        <v>45000</v>
      </c>
      <c r="C159" s="211"/>
      <c r="D159" s="212"/>
    </row>
    <row r="160" spans="1:17" ht="14" thickBot="1" x14ac:dyDescent="0.2">
      <c r="A160" s="250" t="str">
        <f>A153</f>
        <v>Common Shares</v>
      </c>
      <c r="B160" s="216">
        <f>C157-B157-B158-B159</f>
        <v>3900</v>
      </c>
      <c r="C160" s="245"/>
      <c r="D160" s="246"/>
    </row>
    <row r="161" spans="1:17" ht="14" thickBot="1" x14ac:dyDescent="0.2">
      <c r="A161" s="251" t="str">
        <f>A114</f>
        <v xml:space="preserve">  Prepaid expenses &amp; other assets (Other LT assets)</v>
      </c>
      <c r="B161" s="239">
        <f>C161</f>
        <v>14100</v>
      </c>
      <c r="C161" s="239">
        <f>C111</f>
        <v>14100</v>
      </c>
      <c r="D161" s="240" t="s">
        <v>106</v>
      </c>
      <c r="H161" s="59"/>
      <c r="I161" s="34"/>
    </row>
    <row r="162" spans="1:17" ht="14" thickBot="1" x14ac:dyDescent="0.2">
      <c r="A162" s="251" t="str">
        <f>A108</f>
        <v xml:space="preserve">  Tax credits receivable (current other assets)</v>
      </c>
      <c r="B162" s="239">
        <f>C162</f>
        <v>15900</v>
      </c>
      <c r="C162" s="239">
        <f>C116</f>
        <v>15900</v>
      </c>
      <c r="D162" s="252" t="str">
        <f>A116</f>
        <v xml:space="preserve">  Tax credits receivable (Other LT assets)</v>
      </c>
      <c r="I162" s="34" t="s">
        <v>927</v>
      </c>
      <c r="K162" s="34" t="s">
        <v>929</v>
      </c>
      <c r="M162" s="34" t="s">
        <v>928</v>
      </c>
      <c r="O162" s="34" t="s">
        <v>930</v>
      </c>
      <c r="Q162" s="34" t="s">
        <v>931</v>
      </c>
    </row>
    <row r="163" spans="1:17" x14ac:dyDescent="0.15">
      <c r="A163" s="241" t="str">
        <f>A161</f>
        <v xml:space="preserve">  Prepaid expenses &amp; other assets (Other LT assets)</v>
      </c>
      <c r="B163" s="242">
        <f>O154</f>
        <v>15800</v>
      </c>
      <c r="C163" s="242">
        <f>C117</f>
        <v>136900</v>
      </c>
      <c r="D163" s="243" t="str">
        <f>A117</f>
        <v xml:space="preserve">  Operating lease right-of-use assets (Other LT assets)</v>
      </c>
      <c r="I163" s="37">
        <f>B112</f>
        <v>152000</v>
      </c>
      <c r="K163" s="37">
        <f>B107</f>
        <v>6500</v>
      </c>
      <c r="M163" s="37">
        <f>B124</f>
        <v>33400</v>
      </c>
      <c r="O163" s="37">
        <f>B133</f>
        <v>220900</v>
      </c>
      <c r="Q163" s="37">
        <f>B136</f>
        <v>40200</v>
      </c>
    </row>
    <row r="164" spans="1:17" x14ac:dyDescent="0.15">
      <c r="A164" s="253" t="str">
        <f>A155</f>
        <v xml:space="preserve">  Prepaid expenses &amp; other current assets (other assets)</v>
      </c>
      <c r="B164" s="211">
        <f>K152</f>
        <v>76200</v>
      </c>
      <c r="C164" s="85"/>
      <c r="D164" s="212"/>
      <c r="F164" s="37"/>
      <c r="I164" s="224">
        <f>B173</f>
        <v>24800</v>
      </c>
      <c r="K164" s="224">
        <f>B167</f>
        <v>4300</v>
      </c>
      <c r="M164" s="224">
        <f>B172</f>
        <v>33400</v>
      </c>
      <c r="O164" s="224">
        <f>B170</f>
        <v>119300</v>
      </c>
      <c r="Q164" s="224">
        <f>C181</f>
        <v>1200</v>
      </c>
    </row>
    <row r="165" spans="1:17" x14ac:dyDescent="0.15">
      <c r="A165" s="253" t="str">
        <f>A167</f>
        <v xml:space="preserve">  Product inventory (other assets)</v>
      </c>
      <c r="B165" s="211">
        <f>K165</f>
        <v>2200</v>
      </c>
      <c r="C165" s="85"/>
      <c r="D165" s="212"/>
      <c r="G165" s="37"/>
      <c r="I165" s="37">
        <f>I163-I164</f>
        <v>127200</v>
      </c>
      <c r="K165" s="37">
        <f>K163-K164</f>
        <v>2200</v>
      </c>
      <c r="M165" s="37">
        <f>M163-M164</f>
        <v>0</v>
      </c>
      <c r="O165" s="37">
        <f>O163-O164</f>
        <v>101600</v>
      </c>
      <c r="Q165" s="59">
        <f>Q163-Q164</f>
        <v>39000</v>
      </c>
    </row>
    <row r="166" spans="1:17" ht="14" thickBot="1" x14ac:dyDescent="0.2">
      <c r="A166" s="244" t="str">
        <f>A171</f>
        <v xml:space="preserve">  Intangible assets</v>
      </c>
      <c r="B166" s="216">
        <f>C163-B163-B164-B165</f>
        <v>42700</v>
      </c>
      <c r="C166" s="216"/>
      <c r="D166" s="246"/>
      <c r="I166" s="224">
        <f>B171</f>
        <v>29900</v>
      </c>
      <c r="K166" s="224">
        <f>B165</f>
        <v>2200</v>
      </c>
      <c r="O166" s="224">
        <f>B179</f>
        <v>101600</v>
      </c>
      <c r="Q166" s="224">
        <f>B182</f>
        <v>37200</v>
      </c>
    </row>
    <row r="167" spans="1:17" ht="14" thickBot="1" x14ac:dyDescent="0.2">
      <c r="A167" s="248" t="str">
        <f>A107</f>
        <v xml:space="preserve">  Product inventory (other assets)</v>
      </c>
      <c r="B167" s="239">
        <f>C167</f>
        <v>4300</v>
      </c>
      <c r="C167" s="239">
        <f>C123</f>
        <v>4300</v>
      </c>
      <c r="D167" s="252" t="str">
        <f>A123</f>
        <v>Accounts payable &amp; accrued liabilities</v>
      </c>
      <c r="I167" s="37">
        <f>I165-I166</f>
        <v>97300</v>
      </c>
      <c r="K167" s="37">
        <f>K165-K166</f>
        <v>0</v>
      </c>
      <c r="O167" s="37">
        <f>O165-O166</f>
        <v>0</v>
      </c>
      <c r="Q167" s="37">
        <f>Q165-Q166</f>
        <v>1800</v>
      </c>
    </row>
    <row r="168" spans="1:17" x14ac:dyDescent="0.15">
      <c r="A168" s="241" t="str">
        <f>A160</f>
        <v>Common Shares</v>
      </c>
      <c r="B168" s="242">
        <f>M158</f>
        <v>6400</v>
      </c>
      <c r="C168" s="242">
        <f>C125</f>
        <v>158900</v>
      </c>
      <c r="D168" s="243" t="str">
        <f>A125</f>
        <v>Film obligations &amp; production loans</v>
      </c>
      <c r="I168" s="224">
        <f>B175</f>
        <v>1500</v>
      </c>
      <c r="Q168" s="224">
        <f>B180</f>
        <v>1800</v>
      </c>
    </row>
    <row r="169" spans="1:17" x14ac:dyDescent="0.15">
      <c r="A169" s="207" t="str">
        <f>A166</f>
        <v xml:space="preserve">  Intangible assets</v>
      </c>
      <c r="B169" s="211">
        <f>I173</f>
        <v>33200</v>
      </c>
      <c r="C169" s="85"/>
      <c r="D169" s="212"/>
      <c r="I169" s="37">
        <f>I167-I168</f>
        <v>95800</v>
      </c>
      <c r="Q169" s="37">
        <f>Q167-Q168</f>
        <v>0</v>
      </c>
    </row>
    <row r="170" spans="1:17" ht="14" thickBot="1" x14ac:dyDescent="0.2">
      <c r="A170" s="250" t="str">
        <f>A179</f>
        <v>Other liabilities</v>
      </c>
      <c r="B170" s="216">
        <f>C168-B168-B169</f>
        <v>119300</v>
      </c>
      <c r="C170" s="216"/>
      <c r="D170" s="246"/>
      <c r="F170" s="34"/>
      <c r="I170" s="224">
        <f>B176</f>
        <v>19900</v>
      </c>
    </row>
    <row r="171" spans="1:17" ht="14" thickBot="1" x14ac:dyDescent="0.2">
      <c r="A171" s="251" t="str">
        <f>A112</f>
        <v xml:space="preserve">  Intangible assets</v>
      </c>
      <c r="B171" s="239">
        <f>C171</f>
        <v>29900</v>
      </c>
      <c r="C171" s="239">
        <f>C127</f>
        <v>29900</v>
      </c>
      <c r="D171" s="252" t="str">
        <f>A127</f>
        <v>Deferred revenue</v>
      </c>
      <c r="I171" s="37">
        <f>I169-I170</f>
        <v>75900</v>
      </c>
    </row>
    <row r="172" spans="1:17" x14ac:dyDescent="0.15">
      <c r="A172" s="254" t="str">
        <f>A124</f>
        <v>Participations &amp; residuals</v>
      </c>
      <c r="B172" s="242">
        <f>B124</f>
        <v>33400</v>
      </c>
      <c r="C172" s="242">
        <f>C131</f>
        <v>58200</v>
      </c>
      <c r="D172" s="243" t="str">
        <f>A131</f>
        <v>Participations &amp; residuals</v>
      </c>
      <c r="I172" s="224">
        <f>B166</f>
        <v>42700</v>
      </c>
    </row>
    <row r="173" spans="1:17" ht="14" thickBot="1" x14ac:dyDescent="0.2">
      <c r="A173" s="250" t="str">
        <f>A171</f>
        <v xml:space="preserve">  Intangible assets</v>
      </c>
      <c r="B173" s="216">
        <f>C172-B172</f>
        <v>24800</v>
      </c>
      <c r="C173" s="216"/>
      <c r="D173" s="246"/>
      <c r="I173" s="37">
        <f>I171-I172</f>
        <v>33200</v>
      </c>
    </row>
    <row r="174" spans="1:17" ht="14" thickBot="1" x14ac:dyDescent="0.2">
      <c r="A174" s="251" t="str">
        <f>A160</f>
        <v>Common Shares</v>
      </c>
      <c r="B174" s="239">
        <f>C174</f>
        <v>46200</v>
      </c>
      <c r="C174" s="239">
        <f>C132</f>
        <v>46200</v>
      </c>
      <c r="D174" s="252" t="str">
        <f>A132</f>
        <v>Film obligations &amp; production loans</v>
      </c>
      <c r="I174" s="224">
        <f>B169</f>
        <v>33200</v>
      </c>
    </row>
    <row r="175" spans="1:17" ht="14" thickBot="1" x14ac:dyDescent="0.2">
      <c r="A175" s="251" t="str">
        <f>A112</f>
        <v xml:space="preserve">  Intangible assets</v>
      </c>
      <c r="B175" s="239">
        <f>C175</f>
        <v>1500</v>
      </c>
      <c r="C175" s="239">
        <f>C134</f>
        <v>1500</v>
      </c>
      <c r="D175" s="252" t="str">
        <f>A134</f>
        <v>Deferred revenue</v>
      </c>
      <c r="I175" s="37">
        <f>I173-I174</f>
        <v>0</v>
      </c>
    </row>
    <row r="176" spans="1:17" ht="14" thickBot="1" x14ac:dyDescent="0.2">
      <c r="A176" s="251" t="str">
        <f>A175</f>
        <v xml:space="preserve">  Intangible assets</v>
      </c>
      <c r="B176" s="239">
        <f>C176</f>
        <v>19900</v>
      </c>
      <c r="C176" s="239">
        <f>C135</f>
        <v>19900</v>
      </c>
      <c r="D176" s="255" t="str">
        <f>A135</f>
        <v>Deferred tax liabilities</v>
      </c>
    </row>
    <row r="177" spans="1:4" x14ac:dyDescent="0.15">
      <c r="A177" s="241" t="str">
        <f>A108</f>
        <v xml:space="preserve">  Tax credits receivable (current other assets)</v>
      </c>
      <c r="B177" s="242">
        <f>Q152</f>
        <v>2500</v>
      </c>
      <c r="C177" s="242">
        <f>C140</f>
        <v>125700</v>
      </c>
      <c r="D177" s="243" t="str">
        <f>A140</f>
        <v>Accumulated other comprehensive income (loss)</v>
      </c>
    </row>
    <row r="178" spans="1:4" x14ac:dyDescent="0.15">
      <c r="A178" s="207" t="str">
        <f>A118</f>
        <v xml:space="preserve">  Deferred tax assets</v>
      </c>
      <c r="B178" s="211">
        <f>B118</f>
        <v>19800</v>
      </c>
      <c r="C178" s="211"/>
      <c r="D178" s="212"/>
    </row>
    <row r="179" spans="1:4" x14ac:dyDescent="0.15">
      <c r="A179" s="207" t="str">
        <f>A133</f>
        <v>Other liabilities</v>
      </c>
      <c r="B179" s="211">
        <f>C177-B177-B178-B180</f>
        <v>101600</v>
      </c>
      <c r="C179" s="85"/>
      <c r="D179" s="212"/>
    </row>
    <row r="180" spans="1:4" ht="14" thickBot="1" x14ac:dyDescent="0.2">
      <c r="A180" s="250" t="str">
        <f>A181</f>
        <v>Redeemable noncontrolling interest</v>
      </c>
      <c r="B180" s="216">
        <f>Q167</f>
        <v>1800</v>
      </c>
      <c r="C180" s="245"/>
      <c r="D180" s="246"/>
    </row>
    <row r="181" spans="1:4" ht="14" thickBot="1" x14ac:dyDescent="0.2">
      <c r="A181" s="251" t="str">
        <f>A136</f>
        <v>Redeemable noncontrolling interest</v>
      </c>
      <c r="B181" s="239">
        <f>C181</f>
        <v>1200</v>
      </c>
      <c r="C181" s="239">
        <f>C141</f>
        <v>1200</v>
      </c>
      <c r="D181" s="252" t="str">
        <f>A141</f>
        <v>Noncontrolling interests</v>
      </c>
    </row>
    <row r="182" spans="1:4" ht="14" thickBot="1" x14ac:dyDescent="0.2">
      <c r="A182" s="251" t="str">
        <f>A181</f>
        <v>Redeemable noncontrolling interest</v>
      </c>
      <c r="B182" s="239">
        <f>C182</f>
        <v>37200</v>
      </c>
      <c r="C182" s="239">
        <f>C98</f>
        <v>37200</v>
      </c>
      <c r="D182" s="252" t="str">
        <f>A98</f>
        <v xml:space="preserve">  Redeemable noncontrolling interest adjustments to redemption value</v>
      </c>
    </row>
    <row r="184" spans="1:4" ht="14" thickBot="1" x14ac:dyDescent="0.2">
      <c r="B184" s="46">
        <f ca="1">SUM(B151:B198)</f>
        <v>2720300</v>
      </c>
      <c r="C184" s="46">
        <f ca="1">SUM(C151:C198)</f>
        <v>2720300</v>
      </c>
    </row>
    <row r="185" spans="1:4" ht="14" thickTop="1" x14ac:dyDescent="0.15">
      <c r="B185" s="37"/>
      <c r="C185" s="37"/>
    </row>
    <row r="187" spans="1:4" x14ac:dyDescent="0.15">
      <c r="B187" s="37"/>
      <c r="C187" s="37"/>
    </row>
    <row r="189" spans="1:4" x14ac:dyDescent="0.15">
      <c r="B189" s="37"/>
      <c r="C189" s="37"/>
    </row>
    <row r="191" spans="1:4" x14ac:dyDescent="0.15">
      <c r="B191" s="37"/>
      <c r="C191" s="37"/>
    </row>
    <row r="198" spans="2:3" x14ac:dyDescent="0.15">
      <c r="B198" s="37"/>
      <c r="C198" s="37"/>
    </row>
    <row r="204" spans="2:3" x14ac:dyDescent="0.15">
      <c r="B204" s="37"/>
      <c r="C204" s="37"/>
    </row>
    <row r="205" spans="2:3" x14ac:dyDescent="0.15">
      <c r="B205" s="37"/>
      <c r="C205" s="37"/>
    </row>
    <row r="214" spans="2:3" x14ac:dyDescent="0.15">
      <c r="B214" s="37"/>
      <c r="C214" s="37"/>
    </row>
    <row r="215" spans="2:3" x14ac:dyDescent="0.15">
      <c r="B215" s="37"/>
      <c r="C215" s="37"/>
    </row>
    <row r="216" spans="2:3" x14ac:dyDescent="0.15">
      <c r="B216" s="37"/>
      <c r="C216" s="37"/>
    </row>
    <row r="217" spans="2:3" x14ac:dyDescent="0.15">
      <c r="B217" s="37"/>
      <c r="C217" s="37"/>
    </row>
    <row r="218" spans="2:3" x14ac:dyDescent="0.15">
      <c r="B218" s="37"/>
      <c r="C218" s="37"/>
    </row>
    <row r="219" spans="2:3" x14ac:dyDescent="0.15">
      <c r="B219" s="37"/>
      <c r="C219" s="37"/>
    </row>
    <row r="220" spans="2:3" x14ac:dyDescent="0.15">
      <c r="B220" s="37"/>
      <c r="C220" s="37"/>
    </row>
    <row r="221" spans="2:3" x14ac:dyDescent="0.15">
      <c r="B221" s="37"/>
      <c r="C221" s="37"/>
    </row>
    <row r="222" spans="2:3" x14ac:dyDescent="0.15">
      <c r="B222" s="37"/>
      <c r="C222" s="37"/>
    </row>
    <row r="223" spans="2:3" x14ac:dyDescent="0.15">
      <c r="B223" s="37"/>
      <c r="C223" s="37"/>
    </row>
    <row r="224" spans="2:3" x14ac:dyDescent="0.15">
      <c r="B224" s="37"/>
      <c r="C224" s="37"/>
    </row>
    <row r="225" spans="2:3" x14ac:dyDescent="0.15">
      <c r="B225" s="37"/>
      <c r="C225" s="37"/>
    </row>
    <row r="226" spans="2:3" x14ac:dyDescent="0.15">
      <c r="B226" s="37"/>
      <c r="C226" s="37"/>
    </row>
    <row r="227" spans="2:3" x14ac:dyDescent="0.15">
      <c r="B227" s="37"/>
      <c r="C227" s="37"/>
    </row>
    <row r="228" spans="2:3" x14ac:dyDescent="0.15">
      <c r="B228" s="37"/>
      <c r="C228" s="37"/>
    </row>
    <row r="229" spans="2:3" x14ac:dyDescent="0.15">
      <c r="B229" s="37"/>
      <c r="C229" s="37"/>
    </row>
    <row r="230" spans="2:3" x14ac:dyDescent="0.15">
      <c r="B230" s="37"/>
      <c r="C230" s="37"/>
    </row>
    <row r="231" spans="2:3" x14ac:dyDescent="0.15">
      <c r="B231" s="37"/>
      <c r="C231" s="37"/>
    </row>
    <row r="232" spans="2:3" x14ac:dyDescent="0.15">
      <c r="B232" s="37"/>
      <c r="C232" s="37"/>
    </row>
    <row r="233" spans="2:3" x14ac:dyDescent="0.15">
      <c r="B233" s="37"/>
      <c r="C233" s="37"/>
    </row>
    <row r="234" spans="2:3" x14ac:dyDescent="0.15">
      <c r="B234" s="37"/>
      <c r="C234" s="37"/>
    </row>
    <row r="235" spans="2:3" x14ac:dyDescent="0.15">
      <c r="B235" s="37"/>
      <c r="C235" s="37"/>
    </row>
    <row r="236" spans="2:3" x14ac:dyDescent="0.15">
      <c r="B236" s="37"/>
      <c r="C236" s="37"/>
    </row>
    <row r="237" spans="2:3" x14ac:dyDescent="0.15">
      <c r="B237" s="37"/>
      <c r="C237" s="37"/>
    </row>
    <row r="238" spans="2:3" x14ac:dyDescent="0.15">
      <c r="B238" s="37"/>
      <c r="C238" s="37"/>
    </row>
    <row r="239" spans="2:3" x14ac:dyDescent="0.15">
      <c r="B239" s="37"/>
      <c r="C239" s="37"/>
    </row>
    <row r="240" spans="2:3" x14ac:dyDescent="0.15">
      <c r="B240" s="37"/>
      <c r="C240" s="37"/>
    </row>
    <row r="241" spans="2:3" x14ac:dyDescent="0.15">
      <c r="B241" s="37"/>
      <c r="C241" s="37"/>
    </row>
    <row r="242" spans="2:3" x14ac:dyDescent="0.15">
      <c r="B242" s="37"/>
      <c r="C242" s="37"/>
    </row>
    <row r="243" spans="2:3" x14ac:dyDescent="0.15">
      <c r="B243" s="37"/>
      <c r="C243" s="37"/>
    </row>
    <row r="244" spans="2:3" x14ac:dyDescent="0.15">
      <c r="B244" s="37"/>
      <c r="C244" s="37"/>
    </row>
    <row r="245" spans="2:3" x14ac:dyDescent="0.15">
      <c r="B245" s="37"/>
      <c r="C245" s="37"/>
    </row>
    <row r="246" spans="2:3" x14ac:dyDescent="0.15">
      <c r="B246" s="37"/>
      <c r="C246" s="37"/>
    </row>
    <row r="247" spans="2:3" x14ac:dyDescent="0.15">
      <c r="B247" s="37"/>
      <c r="C247" s="37"/>
    </row>
    <row r="248" spans="2:3" x14ac:dyDescent="0.15">
      <c r="B248" s="37"/>
      <c r="C248" s="37"/>
    </row>
    <row r="249" spans="2:3" x14ac:dyDescent="0.15">
      <c r="B249" s="37"/>
      <c r="C249" s="37"/>
    </row>
    <row r="250" spans="2:3" x14ac:dyDescent="0.15">
      <c r="B250" s="37"/>
      <c r="C250" s="37"/>
    </row>
    <row r="251" spans="2:3" x14ac:dyDescent="0.15">
      <c r="B251" s="37"/>
      <c r="C251" s="37"/>
    </row>
    <row r="252" spans="2:3" x14ac:dyDescent="0.15">
      <c r="B252" s="37"/>
      <c r="C252" s="37"/>
    </row>
    <row r="253" spans="2:3" x14ac:dyDescent="0.15">
      <c r="B253" s="37"/>
      <c r="C253" s="37"/>
    </row>
    <row r="254" spans="2:3" x14ac:dyDescent="0.15">
      <c r="B254" s="37"/>
      <c r="C254" s="37"/>
    </row>
    <row r="261" spans="2:3" x14ac:dyDescent="0.15">
      <c r="B261" s="37"/>
      <c r="C261" s="37"/>
    </row>
    <row r="262" spans="2:3" x14ac:dyDescent="0.15">
      <c r="B262" s="37"/>
      <c r="C262" s="37"/>
    </row>
    <row r="263" spans="2:3" x14ac:dyDescent="0.15">
      <c r="B263" s="37"/>
      <c r="C263" s="37"/>
    </row>
    <row r="264" spans="2:3" x14ac:dyDescent="0.15">
      <c r="B264" s="37"/>
      <c r="C264" s="37"/>
    </row>
    <row r="265" spans="2:3" x14ac:dyDescent="0.15">
      <c r="B265" s="37"/>
      <c r="C265" s="37"/>
    </row>
    <row r="266" spans="2:3" x14ac:dyDescent="0.15">
      <c r="B266" s="37"/>
      <c r="C266" s="37"/>
    </row>
    <row r="267" spans="2:3" x14ac:dyDescent="0.15">
      <c r="B267" s="37"/>
      <c r="C267" s="37"/>
    </row>
    <row r="268" spans="2:3" x14ac:dyDescent="0.15">
      <c r="B268" s="37"/>
      <c r="C268" s="37"/>
    </row>
    <row r="269" spans="2:3" x14ac:dyDescent="0.15">
      <c r="B269" s="37"/>
      <c r="C269" s="37"/>
    </row>
    <row r="270" spans="2:3" x14ac:dyDescent="0.15">
      <c r="B270" s="37"/>
      <c r="C270" s="37"/>
    </row>
    <row r="271" spans="2:3" x14ac:dyDescent="0.15">
      <c r="B271" s="37"/>
      <c r="C271" s="37"/>
    </row>
    <row r="272" spans="2:3" x14ac:dyDescent="0.15">
      <c r="B272" s="37"/>
      <c r="C272" s="37"/>
    </row>
    <row r="273" spans="2:3" x14ac:dyDescent="0.15">
      <c r="B273" s="37"/>
      <c r="C273" s="37"/>
    </row>
    <row r="274" spans="2:3" x14ac:dyDescent="0.15">
      <c r="B274" s="37"/>
      <c r="C274" s="37"/>
    </row>
    <row r="275" spans="2:3" x14ac:dyDescent="0.15">
      <c r="B275" s="37"/>
      <c r="C275" s="37"/>
    </row>
    <row r="276" spans="2:3" x14ac:dyDescent="0.15">
      <c r="B276" s="37"/>
      <c r="C276" s="37"/>
    </row>
    <row r="277" spans="2:3" x14ac:dyDescent="0.15">
      <c r="B277" s="37"/>
      <c r="C277" s="37"/>
    </row>
    <row r="278" spans="2:3" x14ac:dyDescent="0.15">
      <c r="B278" s="37"/>
      <c r="C278" s="37"/>
    </row>
    <row r="279" spans="2:3" x14ac:dyDescent="0.15">
      <c r="B279" s="37"/>
      <c r="C279" s="37"/>
    </row>
    <row r="280" spans="2:3" x14ac:dyDescent="0.15">
      <c r="B280" s="37"/>
      <c r="C280" s="37"/>
    </row>
    <row r="281" spans="2:3" x14ac:dyDescent="0.15">
      <c r="B281" s="37"/>
      <c r="C281" s="37"/>
    </row>
    <row r="282" spans="2:3" x14ac:dyDescent="0.15">
      <c r="B282" s="37"/>
      <c r="C282" s="37"/>
    </row>
    <row r="283" spans="2:3" x14ac:dyDescent="0.15">
      <c r="B283" s="37"/>
      <c r="C283" s="37"/>
    </row>
    <row r="284" spans="2:3" x14ac:dyDescent="0.15">
      <c r="B284" s="37"/>
      <c r="C284" s="37"/>
    </row>
    <row r="285" spans="2:3" x14ac:dyDescent="0.15">
      <c r="B285" s="37"/>
      <c r="C285" s="37"/>
    </row>
    <row r="286" spans="2:3" x14ac:dyDescent="0.15">
      <c r="B286" s="37"/>
      <c r="C286" s="37"/>
    </row>
    <row r="287" spans="2:3" x14ac:dyDescent="0.15">
      <c r="B287" s="37"/>
      <c r="C287" s="37"/>
    </row>
    <row r="288" spans="2:3" x14ac:dyDescent="0.15">
      <c r="B288" s="37"/>
      <c r="C288" s="37"/>
    </row>
    <row r="289" spans="2:3" x14ac:dyDescent="0.15">
      <c r="B289" s="37"/>
      <c r="C289" s="37"/>
    </row>
    <row r="290" spans="2:3" x14ac:dyDescent="0.15">
      <c r="B290" s="37"/>
      <c r="C290" s="37"/>
    </row>
    <row r="291" spans="2:3" x14ac:dyDescent="0.15">
      <c r="B291" s="37"/>
      <c r="C291" s="37"/>
    </row>
    <row r="292" spans="2:3" x14ac:dyDescent="0.15">
      <c r="B292" s="37"/>
      <c r="C292" s="37"/>
    </row>
    <row r="293" spans="2:3" x14ac:dyDescent="0.15">
      <c r="B293" s="37"/>
      <c r="C293" s="37"/>
    </row>
    <row r="294" spans="2:3" x14ac:dyDescent="0.15">
      <c r="B294" s="37"/>
      <c r="C294" s="37"/>
    </row>
    <row r="295" spans="2:3" x14ac:dyDescent="0.15">
      <c r="B295" s="37"/>
      <c r="C295" s="37"/>
    </row>
    <row r="296" spans="2:3" x14ac:dyDescent="0.15">
      <c r="B296" s="37"/>
      <c r="C296" s="37"/>
    </row>
    <row r="297" spans="2:3" x14ac:dyDescent="0.15">
      <c r="B297" s="37"/>
      <c r="C297" s="37"/>
    </row>
    <row r="298" spans="2:3" x14ac:dyDescent="0.15">
      <c r="B298" s="37"/>
      <c r="C298" s="37"/>
    </row>
    <row r="299" spans="2:3" x14ac:dyDescent="0.15">
      <c r="B299" s="37"/>
      <c r="C299" s="37"/>
    </row>
    <row r="300" spans="2:3" x14ac:dyDescent="0.15">
      <c r="B300" s="37"/>
      <c r="C300" s="37"/>
    </row>
    <row r="301" spans="2:3" x14ac:dyDescent="0.15">
      <c r="B301" s="37"/>
      <c r="C301" s="37"/>
    </row>
    <row r="302" spans="2:3" x14ac:dyDescent="0.15">
      <c r="B302" s="37"/>
      <c r="C302" s="37"/>
    </row>
    <row r="303" spans="2:3" x14ac:dyDescent="0.15">
      <c r="B303" s="37"/>
      <c r="C303" s="37"/>
    </row>
    <row r="304" spans="2:3" x14ac:dyDescent="0.15">
      <c r="B304" s="37"/>
      <c r="C304" s="37"/>
    </row>
    <row r="305" spans="2:3" x14ac:dyDescent="0.15">
      <c r="B305" s="37"/>
      <c r="C305" s="37"/>
    </row>
    <row r="306" spans="2:3" x14ac:dyDescent="0.15">
      <c r="B306" s="37"/>
      <c r="C306" s="37"/>
    </row>
    <row r="307" spans="2:3" x14ac:dyDescent="0.15">
      <c r="B307" s="37"/>
      <c r="C307" s="37"/>
    </row>
    <row r="308" spans="2:3" x14ac:dyDescent="0.15">
      <c r="B308" s="37"/>
      <c r="C308" s="37"/>
    </row>
    <row r="309" spans="2:3" x14ac:dyDescent="0.15">
      <c r="B309" s="37"/>
      <c r="C309" s="37"/>
    </row>
    <row r="310" spans="2:3" x14ac:dyDescent="0.15">
      <c r="B310" s="37"/>
      <c r="C310" s="37"/>
    </row>
    <row r="311" spans="2:3" x14ac:dyDescent="0.15">
      <c r="B311" s="37"/>
      <c r="C311" s="37"/>
    </row>
    <row r="312" spans="2:3" x14ac:dyDescent="0.15">
      <c r="B312" s="37"/>
      <c r="C312" s="37"/>
    </row>
    <row r="313" spans="2:3" x14ac:dyDescent="0.15">
      <c r="B313" s="37"/>
    </row>
    <row r="314" spans="2:3" x14ac:dyDescent="0.15">
      <c r="B314" s="37"/>
    </row>
  </sheetData>
  <mergeCells count="1">
    <mergeCell ref="H100:J100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65894-4A75-436E-B187-EAE0FBF3FCFA}">
  <dimension ref="A1:W29"/>
  <sheetViews>
    <sheetView workbookViewId="0">
      <selection activeCell="B12" sqref="B12"/>
    </sheetView>
  </sheetViews>
  <sheetFormatPr baseColWidth="10" defaultColWidth="8.83203125" defaultRowHeight="13" x14ac:dyDescent="0.15"/>
  <cols>
    <col min="1" max="1" width="35.83203125" bestFit="1" customWidth="1"/>
    <col min="2" max="2" width="15.83203125" customWidth="1"/>
    <col min="3" max="5" width="14.1640625" bestFit="1" customWidth="1"/>
    <col min="6" max="6" width="14.83203125" bestFit="1" customWidth="1"/>
    <col min="7" max="7" width="14.1640625" bestFit="1" customWidth="1"/>
    <col min="9" max="10" width="9" bestFit="1" customWidth="1"/>
    <col min="11" max="11" width="9.1640625" bestFit="1" customWidth="1"/>
    <col min="13" max="13" width="9.1640625" bestFit="1" customWidth="1"/>
    <col min="17" max="17" width="9.83203125" customWidth="1"/>
  </cols>
  <sheetData>
    <row r="1" spans="1:23" x14ac:dyDescent="0.15">
      <c r="D1" s="35" t="s">
        <v>844</v>
      </c>
      <c r="H1" s="31"/>
      <c r="I1" s="31"/>
      <c r="J1" s="31"/>
      <c r="K1" s="31"/>
    </row>
    <row r="2" spans="1:23" x14ac:dyDescent="0.15">
      <c r="J2" s="31"/>
      <c r="K2" s="31"/>
    </row>
    <row r="3" spans="1:23" x14ac:dyDescent="0.15">
      <c r="B3" s="35">
        <v>2020</v>
      </c>
      <c r="C3" s="201">
        <v>2019</v>
      </c>
      <c r="D3" s="201">
        <v>2018</v>
      </c>
      <c r="E3" s="201">
        <v>2017</v>
      </c>
      <c r="F3" s="201">
        <v>2016</v>
      </c>
      <c r="G3" s="201">
        <v>2015</v>
      </c>
      <c r="I3" s="64" t="s">
        <v>842</v>
      </c>
      <c r="J3" s="64" t="s">
        <v>843</v>
      </c>
      <c r="K3" s="64" t="str">
        <f>Ratios!K73</f>
        <v>σ</v>
      </c>
      <c r="S3" s="34" t="s">
        <v>313</v>
      </c>
    </row>
    <row r="4" spans="1:23" x14ac:dyDescent="0.15">
      <c r="A4" s="52" t="s">
        <v>841</v>
      </c>
      <c r="B4" s="129">
        <f>'Cash Flow'!B17+'Cash Flow'!B19+'Cash Flow'!B20</f>
        <v>1343800</v>
      </c>
      <c r="C4" s="129">
        <f>'Cash Flow'!C17+'Cash Flow'!C19+'Cash Flow'!C20</f>
        <v>1698000</v>
      </c>
      <c r="D4" s="129">
        <f>'Cash Flow'!D17+'Cash Flow'!D19+'Cash Flow'!D20</f>
        <v>1380300</v>
      </c>
      <c r="E4" s="129">
        <f>'Cash Flow'!E17+'Cash Flow'!E19+'Cash Flow'!E20</f>
        <v>2268800</v>
      </c>
      <c r="F4" s="129">
        <f>'Cash Flow'!F17+'Cash Flow'!F19+'Cash Flow'!F20</f>
        <v>1491600</v>
      </c>
      <c r="G4" s="129">
        <f>'Cash Flow'!G17+'Cash Flow'!G19+'Cash Flow'!G20+'Cash Flow'!G22</f>
        <v>1094045</v>
      </c>
      <c r="I4" s="30">
        <f>GEOMEAN(S4:W4)-1</f>
        <v>4.1981216710303526E-2</v>
      </c>
      <c r="J4" s="30">
        <f>AVERAGE(M4:Q4)</f>
        <v>0.10287687170872957</v>
      </c>
      <c r="K4" s="30">
        <f>STDEV(M4:Q4)</f>
        <v>0.3874518340754437</v>
      </c>
      <c r="M4" s="13">
        <f>(B4-C4)/C4</f>
        <v>-0.20859835100117785</v>
      </c>
      <c r="N4" s="13">
        <f>(C4-D4)/D4</f>
        <v>0.23016735492284285</v>
      </c>
      <c r="O4" s="13">
        <f>(D4-E4)/E4</f>
        <v>-0.39161671368124118</v>
      </c>
      <c r="P4" s="13">
        <f>(E4-F4)/F4</f>
        <v>0.52105122016626437</v>
      </c>
      <c r="Q4" s="13">
        <f>(F4-G4)/G4</f>
        <v>0.36338084813695964</v>
      </c>
      <c r="S4" s="10">
        <f>1+(M4)</f>
        <v>0.79140164899882215</v>
      </c>
      <c r="T4">
        <v>1.23016735492284</v>
      </c>
      <c r="U4">
        <v>0.60838328631875882</v>
      </c>
      <c r="V4">
        <v>1.5210512201662643</v>
      </c>
      <c r="W4">
        <v>1.3633808481369596</v>
      </c>
    </row>
    <row r="5" spans="1:23" x14ac:dyDescent="0.15">
      <c r="A5" s="52" t="s">
        <v>840</v>
      </c>
      <c r="B5" s="129">
        <f>'Cash Flow'!B17+'Cash Flow'!B19</f>
        <v>154000</v>
      </c>
      <c r="C5" s="129">
        <f>'Cash Flow'!C17+'Cash Flow'!C19</f>
        <v>-8700</v>
      </c>
      <c r="D5" s="129">
        <f>'Cash Flow'!D17+'Cash Flow'!D19</f>
        <v>-136200</v>
      </c>
      <c r="E5" s="129">
        <f>'Cash Flow'!E17+'Cash Flow'!E19</f>
        <v>627100</v>
      </c>
      <c r="F5" s="129">
        <f>'Cash Flow'!F17+'Cash Flow'!F19</f>
        <v>77600</v>
      </c>
      <c r="G5" s="129">
        <f>'Cash Flow'!G17+'Cash Flow'!G19</f>
        <v>55784</v>
      </c>
      <c r="I5" s="13"/>
      <c r="J5" s="30">
        <f>AVERAGE(M5:Q5)</f>
        <v>5.1784695958119382</v>
      </c>
      <c r="K5" s="30">
        <f>STDEV(M5:Q5)</f>
        <v>8.1899979329175547</v>
      </c>
      <c r="M5" s="13">
        <f>(B5-C5)/-C5</f>
        <v>18.701149425287355</v>
      </c>
      <c r="N5" s="13">
        <f>(C5-D5)/-D5</f>
        <v>0.93612334801762109</v>
      </c>
      <c r="O5" s="13">
        <f>(D5-E5)/E5</f>
        <v>-1.2171902407909425</v>
      </c>
      <c r="P5" s="13">
        <f>(E5-F5)/F5</f>
        <v>7.0811855670103094</v>
      </c>
      <c r="Q5" s="13">
        <f>(F5-G5)/G5</f>
        <v>0.39107987953535062</v>
      </c>
      <c r="S5" s="10">
        <f>1+(M5)</f>
        <v>19.701149425287355</v>
      </c>
      <c r="T5" s="10">
        <f>(1+N5)</f>
        <v>1.9361233480176212</v>
      </c>
      <c r="U5" s="10">
        <f>(1+O5)</f>
        <v>-0.21719024079094251</v>
      </c>
      <c r="V5" s="10">
        <f>(1+P5)</f>
        <v>8.0811855670103085</v>
      </c>
      <c r="W5" s="10">
        <f>(1+Q5)</f>
        <v>1.3910798795353507</v>
      </c>
    </row>
    <row r="6" spans="1:23" x14ac:dyDescent="0.15">
      <c r="A6" s="52" t="s">
        <v>281</v>
      </c>
      <c r="B6" s="129">
        <f>'Cash Flow'!B44</f>
        <v>-500</v>
      </c>
      <c r="C6" s="129">
        <f>'Cash Flow'!C44</f>
        <v>614600</v>
      </c>
      <c r="D6" s="129">
        <f>'Cash Flow'!D44</f>
        <v>427500</v>
      </c>
      <c r="E6" s="129">
        <f>'Cash Flow'!E44</f>
        <v>389200</v>
      </c>
      <c r="F6" s="129">
        <f>'Cash Flow'!F44</f>
        <v>558600</v>
      </c>
      <c r="G6" s="129">
        <f>'Cash Flow'!G44</f>
        <v>-19006</v>
      </c>
      <c r="I6" s="30">
        <f>GEOMEAN(S6:W6)-1</f>
        <v>-0.99996781462476125</v>
      </c>
      <c r="J6" s="30">
        <f>AVERAGE(M6:Q6)</f>
        <v>5.9245429690377751</v>
      </c>
      <c r="K6" s="30">
        <f>STDEV(M6:Q6)</f>
        <v>13.687490288120733</v>
      </c>
      <c r="M6" s="13">
        <f>(B6-C6)/C6</f>
        <v>-1.0008135372600064</v>
      </c>
      <c r="N6" s="13">
        <f>(C6-D6)/D6</f>
        <v>0.43766081871345031</v>
      </c>
      <c r="O6" s="13">
        <f>(D6-E6)/E6</f>
        <v>9.8406988694758474E-2</v>
      </c>
      <c r="P6" s="13">
        <f>(E6-F6)/F6</f>
        <v>-0.3032581453634085</v>
      </c>
      <c r="Q6" s="13">
        <f>(F6-G6)/-G6</f>
        <v>30.390718720404085</v>
      </c>
      <c r="S6" s="287">
        <v>9.9999999999999992E-25</v>
      </c>
      <c r="T6">
        <v>1.4376608187134503</v>
      </c>
      <c r="U6">
        <v>1.0984069886947585</v>
      </c>
      <c r="V6">
        <v>0.69674185463659155</v>
      </c>
      <c r="W6">
        <v>31.390718720404085</v>
      </c>
    </row>
    <row r="7" spans="1:23" x14ac:dyDescent="0.15">
      <c r="A7" s="52" t="s">
        <v>282</v>
      </c>
      <c r="B7" s="129">
        <f>'Cash Flow'!B77</f>
        <v>206300</v>
      </c>
      <c r="C7" s="129">
        <f>'Cash Flow'!C77</f>
        <v>136800</v>
      </c>
      <c r="D7" s="129">
        <f>'Cash Flow'!D77</f>
        <v>-193500</v>
      </c>
      <c r="E7" s="129">
        <f>'Cash Flow'!E77</f>
        <v>59400</v>
      </c>
      <c r="F7" s="129">
        <f>'Cash Flow'!F77</f>
        <v>263400</v>
      </c>
      <c r="G7" s="129">
        <f>'Cash Flow'!G77</f>
        <v>-45347</v>
      </c>
      <c r="I7" s="13"/>
      <c r="J7" s="30">
        <f>AVERAGE(M7:Q7)</f>
        <v>0.59508311843595763</v>
      </c>
      <c r="K7" s="30">
        <f>STDEV(M7:Q7)</f>
        <v>4.0768951341687814</v>
      </c>
      <c r="M7" s="13">
        <f>(B7-C7)/-C7</f>
        <v>-0.50804093567251463</v>
      </c>
      <c r="N7" s="13">
        <f>(C7-D7)/-D7</f>
        <v>1.7069767441860466</v>
      </c>
      <c r="O7" s="13">
        <f>(D7-E7)/E7</f>
        <v>-4.2575757575757578</v>
      </c>
      <c r="P7" s="13">
        <f>(E7-F7)/F7</f>
        <v>-0.7744874715261959</v>
      </c>
      <c r="Q7" s="13">
        <f>(F7-G7)/-G7</f>
        <v>6.8085430127682098</v>
      </c>
      <c r="S7" s="10">
        <f>1+(M7)</f>
        <v>0.49195906432748537</v>
      </c>
      <c r="T7">
        <v>2.7069767441860466</v>
      </c>
      <c r="U7">
        <v>-3.2575757575757578</v>
      </c>
      <c r="V7">
        <v>0.2255125284738041</v>
      </c>
      <c r="W7">
        <v>7.8085430127682098</v>
      </c>
    </row>
    <row r="8" spans="1:23" x14ac:dyDescent="0.15">
      <c r="A8" s="52" t="s">
        <v>253</v>
      </c>
      <c r="B8" s="129">
        <f>Ratios!B88</f>
        <v>-297761</v>
      </c>
      <c r="C8" s="129">
        <f>Ratios!C88</f>
        <v>97878</v>
      </c>
      <c r="D8" s="129">
        <f>Ratios!D88</f>
        <v>446332</v>
      </c>
      <c r="E8" s="129">
        <f>Ratios!E88</f>
        <v>192696</v>
      </c>
      <c r="F8" s="129">
        <f>Ratios!F88</f>
        <v>-1214373</v>
      </c>
      <c r="G8" s="11"/>
      <c r="I8" s="30" t="e">
        <f>GEOMEAN(S8:W8)-1</f>
        <v>#NUM!</v>
      </c>
      <c r="J8" s="30">
        <f>AVERAGE(M8:Q8)</f>
        <v>-0.58698543288674621</v>
      </c>
      <c r="K8" s="30">
        <f>STDEV(M8:Q8)</f>
        <v>2.4930196095455655</v>
      </c>
      <c r="M8" s="13">
        <f>(B8-C8)/C8</f>
        <v>-4.0421647356913706</v>
      </c>
      <c r="N8" s="13">
        <f>(C8-D8)/D8</f>
        <v>-0.78070584228780371</v>
      </c>
      <c r="O8" s="13">
        <f>(D8-E8)/E8</f>
        <v>1.316249429152655</v>
      </c>
      <c r="P8" s="13">
        <f>(E8-F8)/-F8</f>
        <v>1.1586794172795343</v>
      </c>
      <c r="Q8" s="13"/>
      <c r="S8" s="10">
        <f>1+(M8)</f>
        <v>-3.0421647356913706</v>
      </c>
      <c r="T8">
        <v>0.21929415771219629</v>
      </c>
      <c r="U8">
        <v>2.3162494291526547</v>
      </c>
      <c r="V8">
        <v>2.1586794172795343</v>
      </c>
    </row>
    <row r="12" spans="1:23" x14ac:dyDescent="0.15">
      <c r="B12" s="35">
        <v>2020</v>
      </c>
      <c r="C12" s="35">
        <f>C23</f>
        <v>2019</v>
      </c>
      <c r="D12" s="35">
        <f>D23</f>
        <v>2018</v>
      </c>
      <c r="E12" s="35">
        <f>E23</f>
        <v>2017</v>
      </c>
      <c r="F12" s="35">
        <f>F23</f>
        <v>2016</v>
      </c>
      <c r="G12" s="35">
        <f>G23</f>
        <v>2015</v>
      </c>
    </row>
    <row r="13" spans="1:23" x14ac:dyDescent="0.15">
      <c r="A13" s="51" t="s">
        <v>847</v>
      </c>
      <c r="B13" s="104">
        <f>Ratios!B100</f>
        <v>6.0943310657596372</v>
      </c>
      <c r="C13" s="104">
        <f>Ratios!C100</f>
        <v>7.7925653969710877</v>
      </c>
      <c r="D13" s="104">
        <f>Ratios!D100</f>
        <v>6.4590547496490407</v>
      </c>
      <c r="E13" s="104">
        <f>Ratios!E100</f>
        <v>10.886756238003839</v>
      </c>
      <c r="F13" s="104">
        <f>Ratios!F100</f>
        <v>9.0399999999999991</v>
      </c>
      <c r="G13" s="104">
        <f>Ratios!G100</f>
        <v>7.3682987607758621</v>
      </c>
    </row>
    <row r="14" spans="1:23" x14ac:dyDescent="0.15">
      <c r="A14" s="51" t="s">
        <v>848</v>
      </c>
      <c r="B14" s="104">
        <f>('Cash Flow'!B17+'Cash Flow'!B19)/Ratios!B94</f>
        <v>0.69841269841269837</v>
      </c>
      <c r="C14" s="104">
        <f>('Cash Flow'!C17+'Cash Flow'!C19)/Ratios!C94</f>
        <v>-3.9926571821936666E-2</v>
      </c>
      <c r="D14" s="104">
        <f>('Cash Flow'!D17+'Cash Flow'!D19)/Ratios!D94</f>
        <v>-0.63734206832007489</v>
      </c>
      <c r="E14" s="104">
        <f>('Cash Flow'!E17+'Cash Flow'!E19)/Ratios!E94</f>
        <v>3.0091170825335891</v>
      </c>
      <c r="F14" s="104">
        <f>('Cash Flow'!F17+'Cash Flow'!F19)/Ratios!F94</f>
        <v>0.47030303030303028</v>
      </c>
      <c r="G14" s="104">
        <f>('Cash Flow'!G17+'Cash Flow'!G19)/Ratios!G94</f>
        <v>0.37570043103448275</v>
      </c>
    </row>
    <row r="15" spans="1:23" x14ac:dyDescent="0.15">
      <c r="A15" s="51" t="s">
        <v>681</v>
      </c>
      <c r="B15" s="104">
        <f>(Ratios!B79-Ratios!C79)/Ratios!B94</f>
        <v>1.9383219954648525</v>
      </c>
      <c r="C15" s="104">
        <f>(Ratios!C79-Ratios!D79)/Ratios!C94</f>
        <v>-0.49196879302432306</v>
      </c>
      <c r="D15" s="104">
        <f>(Ratios!D79-Ratios!E79)/Ratios!D94</f>
        <v>-2.4922788956481048</v>
      </c>
      <c r="E15" s="104">
        <f>(Ratios!E79-Ratios!F79)/Ratios!E94</f>
        <v>0.37332053742802301</v>
      </c>
      <c r="F15" s="104">
        <f>(Ratios!F79-Ratios!G79)/Ratios!F94</f>
        <v>7.2679090909090913</v>
      </c>
      <c r="G15" s="140" t="s">
        <v>271</v>
      </c>
    </row>
    <row r="16" spans="1:23" x14ac:dyDescent="0.15">
      <c r="A16" s="51" t="s">
        <v>682</v>
      </c>
      <c r="B16" s="104">
        <f>Ratios!B104</f>
        <v>-1.350390022675737</v>
      </c>
      <c r="C16" s="104">
        <f>Ratios!C104</f>
        <v>0.44918770078017439</v>
      </c>
      <c r="D16" s="104">
        <f>Ratios!D104</f>
        <v>2.0885914833879271</v>
      </c>
      <c r="E16" s="104">
        <f>Ratios!E104</f>
        <v>0.92464491362763912</v>
      </c>
      <c r="F16" s="104">
        <f>Ratios!F104</f>
        <v>-7.3598363636363633</v>
      </c>
      <c r="G16" s="104" t="str">
        <f>Ratios!G104</f>
        <v>N/A</v>
      </c>
    </row>
    <row r="18" spans="1:7" x14ac:dyDescent="0.15">
      <c r="A18" s="51" t="s">
        <v>846</v>
      </c>
      <c r="B18" s="104">
        <f>B24/Ratios!B94</f>
        <v>-2.2675736961451248E-3</v>
      </c>
      <c r="C18" s="104">
        <f>C24/Ratios!C94</f>
        <v>2.8205598898577331</v>
      </c>
      <c r="D18" s="104">
        <f>D24/Ratios!D94</f>
        <v>2.0004679457182966</v>
      </c>
      <c r="E18" s="104">
        <f>E24/Ratios!E94</f>
        <v>1.8675623800383878</v>
      </c>
      <c r="F18" s="104">
        <f>F24/Ratios!F94</f>
        <v>3.3854545454545453</v>
      </c>
      <c r="G18" s="104">
        <f>G24/Ratios!G94</f>
        <v>-0.12800377155172413</v>
      </c>
    </row>
    <row r="19" spans="1:7" x14ac:dyDescent="0.15">
      <c r="A19" s="51" t="s">
        <v>683</v>
      </c>
      <c r="B19" s="104">
        <f>B7/Ratios!B94</f>
        <v>0.93560090702947851</v>
      </c>
      <c r="C19" s="104">
        <f>C7/Ratios!C94</f>
        <v>0.62781092244148695</v>
      </c>
      <c r="D19" s="104">
        <f>D7/Ratios!D94</f>
        <v>-0.90547496490407109</v>
      </c>
      <c r="E19" s="104">
        <f>E7/Ratios!E94</f>
        <v>0.28502879078694815</v>
      </c>
      <c r="F19" s="104">
        <f>F7/Ratios!F94</f>
        <v>1.5963636363636364</v>
      </c>
      <c r="G19" s="104">
        <f>G7/Ratios!G94</f>
        <v>-0.30540813577586207</v>
      </c>
    </row>
    <row r="23" spans="1:7" x14ac:dyDescent="0.15">
      <c r="A23" s="35" t="s">
        <v>675</v>
      </c>
      <c r="B23" s="35">
        <v>2020</v>
      </c>
      <c r="C23" s="35">
        <v>2019</v>
      </c>
      <c r="D23" s="35">
        <v>2018</v>
      </c>
      <c r="E23" s="35">
        <v>2017</v>
      </c>
      <c r="F23" s="35">
        <v>2016</v>
      </c>
      <c r="G23" s="35">
        <v>2015</v>
      </c>
    </row>
    <row r="24" spans="1:7" x14ac:dyDescent="0.15">
      <c r="A24" s="138" t="s">
        <v>653</v>
      </c>
      <c r="B24" s="136">
        <f>'Cash Flow'!B44</f>
        <v>-500</v>
      </c>
      <c r="C24" s="136">
        <f>'Cash Flow'!C44</f>
        <v>614600</v>
      </c>
      <c r="D24" s="136">
        <f>'Cash Flow'!D44</f>
        <v>427500</v>
      </c>
      <c r="E24" s="136">
        <f>'Cash Flow'!E44</f>
        <v>389200</v>
      </c>
      <c r="F24" s="136">
        <f>'Cash Flow'!F44</f>
        <v>558600</v>
      </c>
      <c r="G24" s="136">
        <f>'Cash Flow'!G44</f>
        <v>-19006</v>
      </c>
    </row>
    <row r="25" spans="1:7" x14ac:dyDescent="0.15">
      <c r="A25" s="138" t="s">
        <v>676</v>
      </c>
      <c r="B25" s="136">
        <f>'Cash Flow'!B56</f>
        <v>-31100</v>
      </c>
      <c r="C25" s="136">
        <f>'Cash Flow'!C56</f>
        <v>-51700</v>
      </c>
      <c r="D25" s="136">
        <f>'Cash Flow'!D56</f>
        <v>-121700</v>
      </c>
      <c r="E25" s="136">
        <f>'Cash Flow'!E56</f>
        <v>292600</v>
      </c>
      <c r="F25" s="136">
        <f>'Cash Flow'!F56</f>
        <v>-1145300</v>
      </c>
      <c r="G25" s="136">
        <f>'Cash Flow'!G56</f>
        <v>-162064</v>
      </c>
    </row>
    <row r="26" spans="1:7" x14ac:dyDescent="0.15">
      <c r="A26" s="138" t="s">
        <v>677</v>
      </c>
      <c r="B26" s="136">
        <f>'Cash Flow'!B75</f>
        <v>237900</v>
      </c>
      <c r="C26" s="136">
        <f>'Cash Flow'!C75</f>
        <v>-426100</v>
      </c>
      <c r="D26" s="136">
        <f>'Cash Flow'!D75</f>
        <v>-499300</v>
      </c>
      <c r="E26" s="136">
        <f>'Cash Flow'!E75</f>
        <v>-622400</v>
      </c>
      <c r="F26" s="136">
        <f>'Cash Flow'!F75</f>
        <v>850100</v>
      </c>
      <c r="G26" s="136">
        <f>'Cash Flow'!G75</f>
        <v>135723</v>
      </c>
    </row>
    <row r="27" spans="1:7" x14ac:dyDescent="0.15">
      <c r="A27" s="138" t="s">
        <v>678</v>
      </c>
      <c r="B27" s="137">
        <f t="shared" ref="B27:G27" si="0">SUM(B24:B26)</f>
        <v>206300</v>
      </c>
      <c r="C27" s="137">
        <f t="shared" si="0"/>
        <v>136800</v>
      </c>
      <c r="D27" s="137">
        <f t="shared" si="0"/>
        <v>-193500</v>
      </c>
      <c r="E27" s="137">
        <f t="shared" si="0"/>
        <v>59400</v>
      </c>
      <c r="F27" s="137">
        <f t="shared" si="0"/>
        <v>263400</v>
      </c>
      <c r="G27" s="137">
        <f t="shared" si="0"/>
        <v>-45347</v>
      </c>
    </row>
    <row r="28" spans="1:7" x14ac:dyDescent="0.15">
      <c r="A28" s="139" t="s">
        <v>679</v>
      </c>
      <c r="B28" s="136">
        <f>'Cash Flow'!B78</f>
        <v>4200</v>
      </c>
      <c r="C28" s="136">
        <f>'Cash Flow'!C78</f>
        <v>-2900</v>
      </c>
      <c r="D28" s="136">
        <f>'Cash Flow'!D78</f>
        <v>-300</v>
      </c>
      <c r="E28" s="136">
        <f>'Cash Flow'!E78</f>
        <v>-3200</v>
      </c>
      <c r="F28" s="136">
        <f>'Cash Flow'!F78</f>
        <v>800</v>
      </c>
      <c r="G28" s="136">
        <f>'Cash Flow'!G78</f>
        <v>392</v>
      </c>
    </row>
    <row r="29" spans="1:7" x14ac:dyDescent="0.15">
      <c r="A29" s="138" t="s">
        <v>680</v>
      </c>
      <c r="B29" s="137">
        <f t="shared" ref="B29:G29" si="1">B27+B28</f>
        <v>210500</v>
      </c>
      <c r="C29" s="137">
        <f t="shared" si="1"/>
        <v>133900</v>
      </c>
      <c r="D29" s="137">
        <f t="shared" si="1"/>
        <v>-193800</v>
      </c>
      <c r="E29" s="137">
        <f t="shared" si="1"/>
        <v>56200</v>
      </c>
      <c r="F29" s="137">
        <f t="shared" si="1"/>
        <v>264200</v>
      </c>
      <c r="G29" s="137">
        <f t="shared" si="1"/>
        <v>-44955</v>
      </c>
    </row>
  </sheetData>
  <conditionalFormatting sqref="N6:Q7 N8:P8 M4:Q4 M6:M8">
    <cfRule type="cellIs" dxfId="6" priority="4" operator="greaterThan">
      <formula>0</formula>
    </cfRule>
  </conditionalFormatting>
  <conditionalFormatting sqref="N6:Q7 N8:P8 M4:Q4 M6:M8">
    <cfRule type="cellIs" dxfId="5" priority="3" operator="lessThan">
      <formula>0</formula>
    </cfRule>
  </conditionalFormatting>
  <conditionalFormatting sqref="M5:Q5">
    <cfRule type="cellIs" dxfId="4" priority="1" operator="lessThan">
      <formula>0</formula>
    </cfRule>
    <cfRule type="cellIs" dxfId="3" priority="2" operator="greaterThan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B9851-8C07-449F-85CC-AEBAD3DD5720}">
  <dimension ref="A1:K29"/>
  <sheetViews>
    <sheetView workbookViewId="0"/>
  </sheetViews>
  <sheetFormatPr baseColWidth="10" defaultColWidth="8.83203125" defaultRowHeight="13" x14ac:dyDescent="0.15"/>
  <cols>
    <col min="1" max="1" width="32.1640625" customWidth="1"/>
    <col min="2" max="2" width="18.83203125" customWidth="1"/>
    <col min="3" max="3" width="15.83203125" customWidth="1"/>
    <col min="4" max="5" width="12.5" bestFit="1" customWidth="1"/>
    <col min="6" max="6" width="14.1640625" bestFit="1" customWidth="1"/>
    <col min="7" max="10" width="12.5" bestFit="1" customWidth="1"/>
    <col min="11" max="11" width="16.1640625" customWidth="1"/>
  </cols>
  <sheetData>
    <row r="1" spans="1:11" x14ac:dyDescent="0.15">
      <c r="A1" s="34" t="s">
        <v>1001</v>
      </c>
    </row>
    <row r="2" spans="1:11" x14ac:dyDescent="0.15">
      <c r="A2" s="35" t="s">
        <v>994</v>
      </c>
      <c r="B2" s="34" t="s">
        <v>992</v>
      </c>
      <c r="C2" s="34" t="s">
        <v>993</v>
      </c>
      <c r="D2" s="34" t="s">
        <v>983</v>
      </c>
      <c r="E2" s="34" t="s">
        <v>985</v>
      </c>
      <c r="F2" s="34" t="s">
        <v>989</v>
      </c>
    </row>
    <row r="3" spans="1:11" x14ac:dyDescent="0.15">
      <c r="A3" t="s">
        <v>976</v>
      </c>
      <c r="B3" s="52" t="s">
        <v>981</v>
      </c>
      <c r="C3" s="32">
        <v>2.7400000000000001E-2</v>
      </c>
      <c r="D3" s="267">
        <v>45007</v>
      </c>
      <c r="E3" s="52" t="s">
        <v>984</v>
      </c>
      <c r="F3" s="270" t="s">
        <v>271</v>
      </c>
      <c r="G3" s="34"/>
      <c r="H3" s="34"/>
      <c r="I3" s="34"/>
      <c r="J3" s="34"/>
      <c r="K3" s="34"/>
    </row>
    <row r="4" spans="1:11" x14ac:dyDescent="0.15">
      <c r="A4" t="s">
        <v>979</v>
      </c>
      <c r="B4" s="52" t="str">
        <f>B3</f>
        <v>LIBOR + 1.75%</v>
      </c>
      <c r="C4" s="32">
        <v>2.7400000000000001E-2</v>
      </c>
      <c r="D4" s="267">
        <v>44926</v>
      </c>
      <c r="E4" s="52" t="s">
        <v>984</v>
      </c>
      <c r="F4" s="129">
        <f>712.5*1000</f>
        <v>712500</v>
      </c>
      <c r="G4" s="11"/>
      <c r="H4" s="11"/>
      <c r="I4" s="11"/>
    </row>
    <row r="5" spans="1:11" x14ac:dyDescent="0.15">
      <c r="A5" t="s">
        <v>980</v>
      </c>
      <c r="B5" s="52" t="s">
        <v>982</v>
      </c>
      <c r="C5" s="32">
        <v>3.2500000000000001E-2</v>
      </c>
      <c r="D5" s="267">
        <v>45740</v>
      </c>
      <c r="E5" s="52" t="s">
        <v>984</v>
      </c>
      <c r="F5" s="129">
        <f>965.1*1000</f>
        <v>965100</v>
      </c>
      <c r="G5" s="11"/>
      <c r="H5" s="11"/>
      <c r="I5" s="11"/>
      <c r="J5" s="11"/>
      <c r="K5" s="11"/>
    </row>
    <row r="6" spans="1:11" x14ac:dyDescent="0.15">
      <c r="A6" t="s">
        <v>974</v>
      </c>
      <c r="B6" s="268">
        <v>5.8749999999999997E-2</v>
      </c>
      <c r="C6" s="268">
        <f>B6</f>
        <v>5.8749999999999997E-2</v>
      </c>
      <c r="D6" s="267">
        <v>45597</v>
      </c>
      <c r="E6" s="52" t="s">
        <v>986</v>
      </c>
      <c r="F6" s="129">
        <f>518.7*1000</f>
        <v>518700.00000000006</v>
      </c>
      <c r="K6" s="11"/>
    </row>
    <row r="7" spans="1:11" x14ac:dyDescent="0.15">
      <c r="A7" t="s">
        <v>973</v>
      </c>
      <c r="B7" s="268">
        <v>6.3750000000000001E-2</v>
      </c>
      <c r="C7" s="268">
        <f>B7</f>
        <v>6.3750000000000001E-2</v>
      </c>
      <c r="D7" s="267">
        <v>45323</v>
      </c>
      <c r="E7" s="52" t="s">
        <v>986</v>
      </c>
      <c r="F7" s="129">
        <f>545.6*1000</f>
        <v>545600</v>
      </c>
      <c r="J7" s="11"/>
    </row>
    <row r="8" spans="1:11" x14ac:dyDescent="0.15">
      <c r="A8" t="s">
        <v>975</v>
      </c>
      <c r="B8" s="52" t="s">
        <v>987</v>
      </c>
      <c r="C8" s="80">
        <v>3.6799999999999999E-2</v>
      </c>
      <c r="D8" s="52" t="s">
        <v>988</v>
      </c>
      <c r="E8" s="52" t="s">
        <v>984</v>
      </c>
      <c r="F8" s="129">
        <f>450.6*1000</f>
        <v>450600</v>
      </c>
      <c r="G8" s="11"/>
      <c r="H8" s="11"/>
      <c r="I8" s="11"/>
      <c r="J8" s="11"/>
      <c r="K8" s="11"/>
    </row>
    <row r="9" spans="1:11" x14ac:dyDescent="0.15">
      <c r="A9" s="34"/>
      <c r="G9" s="11"/>
      <c r="H9" s="37"/>
      <c r="I9" s="11"/>
      <c r="J9" s="37"/>
      <c r="K9" s="11"/>
    </row>
    <row r="10" spans="1:11" x14ac:dyDescent="0.15">
      <c r="A10" s="35" t="s">
        <v>1000</v>
      </c>
      <c r="B10" s="35">
        <v>2021</v>
      </c>
      <c r="C10" s="35">
        <v>2022</v>
      </c>
      <c r="D10" s="35">
        <v>2023</v>
      </c>
      <c r="E10" s="35">
        <v>2024</v>
      </c>
      <c r="F10" s="35">
        <v>2025</v>
      </c>
    </row>
    <row r="11" spans="1:11" x14ac:dyDescent="0.15">
      <c r="A11" t="s">
        <v>976</v>
      </c>
      <c r="B11" s="34" t="s">
        <v>271</v>
      </c>
      <c r="C11" s="34" t="s">
        <v>271</v>
      </c>
      <c r="D11" s="34" t="s">
        <v>271</v>
      </c>
      <c r="E11" s="34" t="s">
        <v>271</v>
      </c>
      <c r="F11" s="34" t="s">
        <v>271</v>
      </c>
    </row>
    <row r="12" spans="1:11" x14ac:dyDescent="0.15">
      <c r="A12" t="s">
        <v>979</v>
      </c>
      <c r="B12" s="11">
        <f>52.5*1000</f>
        <v>52500</v>
      </c>
      <c r="C12" s="11">
        <f>75*1000</f>
        <v>75000</v>
      </c>
      <c r="D12" s="11">
        <f>585*1000</f>
        <v>585000</v>
      </c>
    </row>
    <row r="13" spans="1:11" x14ac:dyDescent="0.15">
      <c r="A13" t="s">
        <v>980</v>
      </c>
      <c r="B13" s="11">
        <f>12.5*1000</f>
        <v>12500</v>
      </c>
      <c r="C13" s="11">
        <f>12.5*1000</f>
        <v>12500</v>
      </c>
      <c r="D13" s="11">
        <f>12.5*1000</f>
        <v>12500</v>
      </c>
      <c r="E13" s="11">
        <f>12.5*1000</f>
        <v>12500</v>
      </c>
      <c r="F13" s="11">
        <f>915.1*1000</f>
        <v>915100</v>
      </c>
      <c r="G13" s="11"/>
      <c r="H13" s="11"/>
      <c r="I13" s="11"/>
      <c r="J13" s="11"/>
      <c r="K13" s="11"/>
    </row>
    <row r="14" spans="1:11" x14ac:dyDescent="0.15">
      <c r="A14" t="s">
        <v>974</v>
      </c>
      <c r="F14" s="11">
        <f>518.7*1000</f>
        <v>518700.00000000006</v>
      </c>
      <c r="G14" s="11"/>
      <c r="H14" s="11"/>
      <c r="I14" s="11"/>
      <c r="J14" s="11"/>
      <c r="K14" s="11"/>
    </row>
    <row r="15" spans="1:11" x14ac:dyDescent="0.15">
      <c r="A15" t="s">
        <v>973</v>
      </c>
      <c r="E15" s="11">
        <f>545.6*1000</f>
        <v>545600</v>
      </c>
    </row>
    <row r="16" spans="1:11" x14ac:dyDescent="0.15">
      <c r="A16" t="s">
        <v>975</v>
      </c>
      <c r="B16" s="11">
        <f>353.8*1000</f>
        <v>353800</v>
      </c>
      <c r="C16" s="11">
        <f>47*1000</f>
        <v>47000</v>
      </c>
      <c r="D16" s="11">
        <f>38.3*1000</f>
        <v>38300</v>
      </c>
      <c r="E16" s="11">
        <f>7.5*1000</f>
        <v>7500</v>
      </c>
      <c r="F16" s="11">
        <f>2.4*1000</f>
        <v>2400</v>
      </c>
      <c r="G16" s="37"/>
      <c r="H16" s="37"/>
      <c r="I16" s="37"/>
      <c r="J16" s="37"/>
      <c r="K16" s="37"/>
    </row>
    <row r="17" spans="1:6" x14ac:dyDescent="0.15">
      <c r="A17" s="34" t="s">
        <v>991</v>
      </c>
      <c r="B17" s="18">
        <f>161.8*1000</f>
        <v>161800</v>
      </c>
      <c r="C17" s="224">
        <f>B17</f>
        <v>161800</v>
      </c>
      <c r="D17" s="18">
        <f>157*1000</f>
        <v>157000</v>
      </c>
      <c r="E17" s="224">
        <f>133.4*1000</f>
        <v>133400</v>
      </c>
      <c r="F17" s="18">
        <f>90.8*1000</f>
        <v>90800</v>
      </c>
    </row>
    <row r="18" spans="1:6" x14ac:dyDescent="0.15">
      <c r="A18" s="89" t="s">
        <v>997</v>
      </c>
      <c r="B18" s="37">
        <f>SUM(B12:B17)</f>
        <v>580600</v>
      </c>
      <c r="C18" s="37">
        <f>SUM(C12:C17)</f>
        <v>296300</v>
      </c>
      <c r="D18" s="37">
        <f>SUM(D12:D17)</f>
        <v>792800</v>
      </c>
      <c r="E18" s="37">
        <f>SUM(E12:E17)</f>
        <v>699000</v>
      </c>
      <c r="F18" s="37">
        <f>SUM(F12:F17)</f>
        <v>1527000</v>
      </c>
    </row>
    <row r="20" spans="1:6" x14ac:dyDescent="0.15">
      <c r="A20" s="35" t="s">
        <v>990</v>
      </c>
    </row>
    <row r="21" spans="1:6" x14ac:dyDescent="0.15">
      <c r="A21" t="s">
        <v>977</v>
      </c>
      <c r="B21" s="11">
        <f>41.2*1000</f>
        <v>41200</v>
      </c>
      <c r="C21" s="11">
        <f>33.1*1000</f>
        <v>33100</v>
      </c>
      <c r="D21" s="11">
        <f>32.4*1000</f>
        <v>32400</v>
      </c>
      <c r="E21" s="11">
        <f>20.3*1000</f>
        <v>20300</v>
      </c>
      <c r="F21" s="11">
        <f>13*1000</f>
        <v>13000</v>
      </c>
    </row>
    <row r="22" spans="1:6" x14ac:dyDescent="0.15">
      <c r="A22" t="s">
        <v>978</v>
      </c>
      <c r="B22" s="11">
        <f>3*1000</f>
        <v>3000</v>
      </c>
      <c r="C22" s="11">
        <f>0.9*1000</f>
        <v>900</v>
      </c>
      <c r="D22" s="11">
        <f>C22</f>
        <v>900</v>
      </c>
      <c r="E22" s="11">
        <f>1*1000</f>
        <v>1000</v>
      </c>
      <c r="F22" s="11">
        <f>E22</f>
        <v>1000</v>
      </c>
    </row>
    <row r="23" spans="1:6" x14ac:dyDescent="0.15">
      <c r="A23" s="34" t="s">
        <v>995</v>
      </c>
      <c r="B23" s="11">
        <f>391.8*1000</f>
        <v>391800</v>
      </c>
      <c r="C23" s="11">
        <f>384.1*1000</f>
        <v>384100</v>
      </c>
      <c r="D23" s="11">
        <f>111.5*1000</f>
        <v>111500</v>
      </c>
      <c r="E23" s="11">
        <f>74.1*1000</f>
        <v>74100</v>
      </c>
      <c r="F23" s="11">
        <f>7.8*1000</f>
        <v>7800</v>
      </c>
    </row>
    <row r="24" spans="1:6" x14ac:dyDescent="0.15">
      <c r="A24" s="34" t="s">
        <v>996</v>
      </c>
      <c r="B24" s="18">
        <f>143.3*1000</f>
        <v>143300</v>
      </c>
      <c r="C24" s="18">
        <f>75.6*1000</f>
        <v>75600</v>
      </c>
      <c r="D24" s="18">
        <f>45.4*1000</f>
        <v>45400</v>
      </c>
      <c r="E24" s="18">
        <f>10.8*1000</f>
        <v>10800</v>
      </c>
      <c r="F24" s="18">
        <f>7.3*1000</f>
        <v>7300</v>
      </c>
    </row>
    <row r="25" spans="1:6" x14ac:dyDescent="0.15">
      <c r="A25" s="89" t="s">
        <v>999</v>
      </c>
      <c r="B25" s="37">
        <f>SUM(B21:B24)</f>
        <v>579300</v>
      </c>
      <c r="C25" s="37">
        <f>SUM(C21:C24)</f>
        <v>493700</v>
      </c>
      <c r="D25" s="37">
        <f>SUM(D21:D24)</f>
        <v>190200</v>
      </c>
      <c r="E25" s="37">
        <f>SUM(E21:E24)</f>
        <v>106200</v>
      </c>
      <c r="F25" s="37">
        <f>SUM(F21:F24)</f>
        <v>29100</v>
      </c>
    </row>
    <row r="27" spans="1:6" ht="14" thickBot="1" x14ac:dyDescent="0.2">
      <c r="A27" s="269" t="s">
        <v>998</v>
      </c>
      <c r="B27" s="46">
        <f>B18+B25</f>
        <v>1159900</v>
      </c>
      <c r="C27" s="46">
        <f>C18+C25</f>
        <v>790000</v>
      </c>
      <c r="D27" s="46">
        <f>D18+D25</f>
        <v>983000</v>
      </c>
      <c r="E27" s="46">
        <f>E18+E25</f>
        <v>805200</v>
      </c>
      <c r="F27" s="46">
        <f>F18+F25</f>
        <v>1556100</v>
      </c>
    </row>
    <row r="28" spans="1:6" ht="14" thickTop="1" x14ac:dyDescent="0.15"/>
    <row r="29" spans="1:6" x14ac:dyDescent="0.15">
      <c r="B29" s="13"/>
      <c r="F29" s="13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DB7D8-79B1-4861-BBD4-16171354EA21}">
  <dimension ref="A1:Y57"/>
  <sheetViews>
    <sheetView topLeftCell="A28" workbookViewId="0">
      <selection activeCell="B57" sqref="B57"/>
    </sheetView>
  </sheetViews>
  <sheetFormatPr baseColWidth="10" defaultColWidth="8.83203125" defaultRowHeight="13" x14ac:dyDescent="0.15"/>
  <cols>
    <col min="1" max="1" width="28.83203125" bestFit="1" customWidth="1"/>
    <col min="2" max="7" width="14.1640625" bestFit="1" customWidth="1"/>
    <col min="8" max="8" width="14.1640625" customWidth="1"/>
    <col min="9" max="9" width="9.1640625" bestFit="1" customWidth="1"/>
    <col min="10" max="10" width="16.1640625" bestFit="1" customWidth="1"/>
    <col min="12" max="12" width="9.1640625" bestFit="1" customWidth="1"/>
    <col min="13" max="13" width="9.1640625" customWidth="1"/>
    <col min="14" max="15" width="9.1640625" bestFit="1" customWidth="1"/>
  </cols>
  <sheetData>
    <row r="1" spans="1:11" ht="18" x14ac:dyDescent="0.2">
      <c r="A1" s="100" t="s">
        <v>305</v>
      </c>
      <c r="B1" s="100"/>
    </row>
    <row r="2" spans="1:11" x14ac:dyDescent="0.15">
      <c r="A2" s="34"/>
      <c r="B2" s="34"/>
    </row>
    <row r="3" spans="1:11" ht="14" x14ac:dyDescent="0.15">
      <c r="A3" s="34"/>
      <c r="B3" s="97">
        <v>2020</v>
      </c>
      <c r="C3" s="97">
        <v>2019</v>
      </c>
      <c r="D3" s="97">
        <v>2018</v>
      </c>
      <c r="E3" s="97">
        <v>2017</v>
      </c>
      <c r="F3" s="97">
        <v>2016</v>
      </c>
      <c r="G3" s="97">
        <v>2015</v>
      </c>
      <c r="H3" s="97"/>
      <c r="J3" s="97" t="s">
        <v>162</v>
      </c>
      <c r="K3" s="99" t="str">
        <f>Ratios!K3</f>
        <v>σ</v>
      </c>
    </row>
    <row r="4" spans="1:11" x14ac:dyDescent="0.15">
      <c r="A4" s="35" t="s">
        <v>295</v>
      </c>
      <c r="B4" s="98">
        <v>0.33</v>
      </c>
      <c r="C4" s="95">
        <v>0.43</v>
      </c>
      <c r="D4" s="95">
        <v>0.39800000000000002</v>
      </c>
      <c r="E4" s="95">
        <v>0.441</v>
      </c>
      <c r="F4" s="95">
        <v>0.6</v>
      </c>
      <c r="G4" s="95">
        <v>0.71499999999999997</v>
      </c>
      <c r="H4" s="95"/>
      <c r="J4" s="95">
        <f t="shared" ref="J4:J9" si="0">AVERAGE(B4:G4)</f>
        <v>0.48566666666666664</v>
      </c>
      <c r="K4" s="98">
        <f t="shared" ref="K4:K9" si="1">STDEV(B4:G4)</f>
        <v>0.14330201208171064</v>
      </c>
    </row>
    <row r="5" spans="1:11" x14ac:dyDescent="0.15">
      <c r="A5" s="34" t="s">
        <v>298</v>
      </c>
      <c r="B5" s="96">
        <v>1.0999999999999999E-2</v>
      </c>
      <c r="C5" s="31">
        <v>0.21299999999999999</v>
      </c>
      <c r="D5" s="31">
        <v>0.14699999999999999</v>
      </c>
      <c r="E5" s="31">
        <v>0.154</v>
      </c>
      <c r="F5" s="31">
        <v>0.193</v>
      </c>
      <c r="G5" s="31">
        <v>0.187</v>
      </c>
      <c r="H5" s="31"/>
      <c r="I5" s="31"/>
      <c r="J5" s="32">
        <f t="shared" si="0"/>
        <v>0.15083333333333335</v>
      </c>
      <c r="K5" s="30">
        <f t="shared" si="1"/>
        <v>7.2840693754704644E-2</v>
      </c>
    </row>
    <row r="6" spans="1:11" x14ac:dyDescent="0.15">
      <c r="A6" s="34" t="s">
        <v>299</v>
      </c>
      <c r="B6" s="96">
        <v>0.55600000000000005</v>
      </c>
      <c r="C6" s="31">
        <v>0.42199999999999999</v>
      </c>
      <c r="D6" s="31">
        <v>0.40400000000000003</v>
      </c>
      <c r="E6" s="31">
        <v>0.42499999999999999</v>
      </c>
      <c r="F6" s="31">
        <v>0.36799999999999999</v>
      </c>
      <c r="G6" s="31">
        <v>0.34599999999999997</v>
      </c>
      <c r="H6" s="31"/>
      <c r="J6" s="32">
        <f t="shared" si="0"/>
        <v>0.42016666666666674</v>
      </c>
      <c r="K6" s="30">
        <f t="shared" si="1"/>
        <v>7.3431373857954063E-2</v>
      </c>
    </row>
    <row r="7" spans="1:11" x14ac:dyDescent="0.15">
      <c r="A7" s="34" t="s">
        <v>300</v>
      </c>
      <c r="B7" s="96">
        <v>0.21299999999999999</v>
      </c>
      <c r="C7" s="31">
        <v>0.14799999999999999</v>
      </c>
      <c r="D7" s="31">
        <v>0.187</v>
      </c>
      <c r="E7" s="31">
        <v>0.153</v>
      </c>
      <c r="F7" s="31">
        <v>0.14499999999999999</v>
      </c>
      <c r="G7" s="31">
        <v>0.122</v>
      </c>
      <c r="H7" s="31"/>
      <c r="J7" s="32">
        <f t="shared" si="0"/>
        <v>0.16133333333333336</v>
      </c>
      <c r="K7" s="30">
        <f t="shared" si="1"/>
        <v>3.2830879772961619E-2</v>
      </c>
    </row>
    <row r="8" spans="1:11" x14ac:dyDescent="0.15">
      <c r="A8" s="34" t="s">
        <v>301</v>
      </c>
      <c r="B8" s="96">
        <v>0.20100000000000001</v>
      </c>
      <c r="C8" s="31">
        <v>0.20399999999999999</v>
      </c>
      <c r="D8" s="31">
        <v>0.23300000000000001</v>
      </c>
      <c r="E8" s="31">
        <v>0.251</v>
      </c>
      <c r="F8" s="31">
        <v>0.27800000000000002</v>
      </c>
      <c r="G8" s="31">
        <v>0.32700000000000001</v>
      </c>
      <c r="H8" s="31"/>
      <c r="J8" s="32">
        <f t="shared" si="0"/>
        <v>0.249</v>
      </c>
      <c r="K8" s="30">
        <f t="shared" si="1"/>
        <v>4.7987498371971894E-2</v>
      </c>
    </row>
    <row r="9" spans="1:11" x14ac:dyDescent="0.15">
      <c r="A9" s="34" t="s">
        <v>303</v>
      </c>
      <c r="B9" s="96">
        <v>1.9E-2</v>
      </c>
      <c r="C9" s="31">
        <v>1.2999999999999999E-2</v>
      </c>
      <c r="D9" s="31">
        <v>2.8000000000000001E-2</v>
      </c>
      <c r="E9" s="31">
        <v>1.7000000000000001E-2</v>
      </c>
      <c r="F9" s="31">
        <v>1.4999999999999999E-2</v>
      </c>
      <c r="G9" s="31">
        <v>1.7999999999999999E-2</v>
      </c>
      <c r="H9" s="31"/>
      <c r="J9" s="32">
        <f t="shared" si="0"/>
        <v>1.8333333333333333E-2</v>
      </c>
      <c r="K9" s="30">
        <f t="shared" si="1"/>
        <v>5.2025634707004434E-3</v>
      </c>
    </row>
    <row r="10" spans="1:11" x14ac:dyDescent="0.15">
      <c r="A10" s="34"/>
      <c r="B10" s="34"/>
      <c r="C10" s="31"/>
      <c r="D10" s="31"/>
      <c r="E10" s="31"/>
      <c r="F10" s="31"/>
      <c r="G10" s="31"/>
      <c r="H10" s="31"/>
      <c r="J10" s="31"/>
      <c r="K10" s="13"/>
    </row>
    <row r="11" spans="1:11" x14ac:dyDescent="0.15">
      <c r="A11" s="35" t="s">
        <v>296</v>
      </c>
      <c r="B11" s="95">
        <v>0.254</v>
      </c>
      <c r="C11" s="95">
        <v>0.25700000000000001</v>
      </c>
      <c r="D11" s="95">
        <v>0.25</v>
      </c>
      <c r="E11" s="95">
        <v>0.19500000000000001</v>
      </c>
      <c r="F11" s="95">
        <v>0.26200000000000001</v>
      </c>
      <c r="G11" s="95">
        <v>0.28499999999999998</v>
      </c>
      <c r="H11" s="95"/>
      <c r="J11" s="95">
        <f>AVERAGE(B11:G11)</f>
        <v>0.2505</v>
      </c>
      <c r="K11" s="98">
        <f>STDEV(B11:G11)</f>
        <v>2.9857997253667241E-2</v>
      </c>
    </row>
    <row r="12" spans="1:11" x14ac:dyDescent="0.15">
      <c r="A12" s="34" t="s">
        <v>300</v>
      </c>
      <c r="B12" s="96">
        <v>0.56999999999999995</v>
      </c>
      <c r="C12" s="31">
        <v>0.71499999999999997</v>
      </c>
      <c r="D12" s="31">
        <v>0.71199999999999997</v>
      </c>
      <c r="E12" s="31">
        <v>0.78900000000000003</v>
      </c>
      <c r="F12" s="31">
        <v>0.76700000000000002</v>
      </c>
      <c r="G12" s="31">
        <v>0.62</v>
      </c>
      <c r="H12" s="31"/>
      <c r="J12" s="32">
        <f>AVERAGE(B12:G12)</f>
        <v>0.69550000000000001</v>
      </c>
      <c r="K12" s="30">
        <f>STDEV(B12:G12)</f>
        <v>8.4802712220777829E-2</v>
      </c>
    </row>
    <row r="13" spans="1:11" x14ac:dyDescent="0.15">
      <c r="A13" s="34" t="s">
        <v>301</v>
      </c>
      <c r="B13" s="96">
        <v>0.19800000000000001</v>
      </c>
      <c r="C13" s="31">
        <v>0.153</v>
      </c>
      <c r="D13" s="31">
        <v>0.14799999999999999</v>
      </c>
      <c r="E13" s="31">
        <v>0.16800000000000001</v>
      </c>
      <c r="F13" s="31">
        <v>0.17799999999999999</v>
      </c>
      <c r="G13" s="31">
        <v>0.28399999999999997</v>
      </c>
      <c r="H13" s="31"/>
      <c r="J13" s="32">
        <f>AVERAGE(B13:G13)</f>
        <v>0.18816666666666668</v>
      </c>
      <c r="K13" s="30">
        <f>STDEV(B13:G13)</f>
        <v>5.0280877743598157E-2</v>
      </c>
    </row>
    <row r="14" spans="1:11" x14ac:dyDescent="0.15">
      <c r="A14" s="34" t="s">
        <v>299</v>
      </c>
      <c r="B14" s="96">
        <v>0.16</v>
      </c>
      <c r="C14" s="31">
        <v>6.0999999999999999E-2</v>
      </c>
      <c r="D14" s="31">
        <v>8.1000000000000003E-2</v>
      </c>
      <c r="E14" s="31">
        <v>3.7999999999999999E-2</v>
      </c>
      <c r="F14" s="31">
        <v>4.8000000000000001E-2</v>
      </c>
      <c r="G14" s="31">
        <v>0.09</v>
      </c>
      <c r="H14" s="31"/>
      <c r="J14" s="32">
        <f>AVERAGE(B14:G14)</f>
        <v>7.9666666666666663E-2</v>
      </c>
      <c r="K14" s="30">
        <f>STDEV(B14:G14)</f>
        <v>4.3930247741922258E-2</v>
      </c>
    </row>
    <row r="15" spans="1:11" x14ac:dyDescent="0.15">
      <c r="A15" s="34" t="s">
        <v>302</v>
      </c>
      <c r="B15" s="96">
        <v>7.1999999999999995E-2</v>
      </c>
      <c r="C15" s="31">
        <v>7.0999999999999994E-2</v>
      </c>
      <c r="D15" s="31">
        <v>5.8000000000000003E-2</v>
      </c>
      <c r="E15" s="31">
        <v>5.0000000000000001E-3</v>
      </c>
      <c r="F15" s="31">
        <v>8.0000000000000002E-3</v>
      </c>
      <c r="G15" s="31">
        <v>6.0000000000000001E-3</v>
      </c>
      <c r="H15" s="31"/>
      <c r="J15" s="32">
        <f>AVERAGE(B15:G15)</f>
        <v>3.6666666666666667E-2</v>
      </c>
      <c r="K15" s="30">
        <f>STDEV(B15:G15)</f>
        <v>3.3607538836794737E-2</v>
      </c>
    </row>
    <row r="16" spans="1:11" x14ac:dyDescent="0.15">
      <c r="A16" s="34"/>
      <c r="B16" s="34"/>
      <c r="C16" s="31"/>
      <c r="D16" s="31"/>
      <c r="E16" s="31"/>
      <c r="F16" s="31"/>
      <c r="G16" s="31"/>
      <c r="H16" s="31"/>
      <c r="J16" s="31"/>
      <c r="K16" s="13"/>
    </row>
    <row r="17" spans="1:25" x14ac:dyDescent="0.15">
      <c r="A17" s="35" t="s">
        <v>297</v>
      </c>
      <c r="B17" s="95">
        <v>0.47799999999999998</v>
      </c>
      <c r="C17" s="95">
        <v>0.38200000000000001</v>
      </c>
      <c r="D17" s="95">
        <v>0.39700000000000002</v>
      </c>
      <c r="E17" s="95">
        <v>0.371</v>
      </c>
      <c r="F17" s="95">
        <v>0.14299999999999999</v>
      </c>
      <c r="G17" s="95">
        <v>0</v>
      </c>
      <c r="H17" s="95"/>
      <c r="J17" s="95">
        <f>AVERAGE(B17:G17)</f>
        <v>0.29516666666666669</v>
      </c>
      <c r="K17" s="98">
        <f>STDEV(B17:G17)</f>
        <v>0.18295728098839534</v>
      </c>
    </row>
    <row r="18" spans="1:25" x14ac:dyDescent="0.15">
      <c r="A18" s="34" t="s">
        <v>306</v>
      </c>
      <c r="B18" s="96">
        <v>0.92600000000000005</v>
      </c>
      <c r="C18" s="31">
        <v>0.96199999999999997</v>
      </c>
      <c r="D18" s="31">
        <v>0.98599999999999999</v>
      </c>
      <c r="E18" s="31">
        <v>0.91600000000000004</v>
      </c>
      <c r="F18" s="31">
        <v>0.92700000000000005</v>
      </c>
      <c r="G18" s="31">
        <v>0</v>
      </c>
      <c r="H18" s="31"/>
      <c r="J18" s="32">
        <f>AVERAGE(B18:F18)</f>
        <v>0.94339999999999991</v>
      </c>
      <c r="K18" s="30">
        <f>STDEV(B18:F18)</f>
        <v>2.9509320561476812E-2</v>
      </c>
    </row>
    <row r="19" spans="1:25" x14ac:dyDescent="0.15">
      <c r="A19" s="34" t="s">
        <v>307</v>
      </c>
      <c r="B19" s="96">
        <v>4.2000000000000003E-2</v>
      </c>
      <c r="C19" s="31">
        <v>1.4999999999999999E-2</v>
      </c>
      <c r="D19" s="31">
        <v>1E-3</v>
      </c>
      <c r="E19" s="31">
        <v>0</v>
      </c>
      <c r="F19" s="31">
        <v>0</v>
      </c>
      <c r="G19" s="31">
        <v>0</v>
      </c>
      <c r="H19" s="31"/>
      <c r="J19" s="32">
        <f>AVERAGE(B19:D19)</f>
        <v>1.9333333333333334E-2</v>
      </c>
      <c r="K19" s="30">
        <f>STDEV(B19:D19)</f>
        <v>2.0840665376454119E-2</v>
      </c>
    </row>
    <row r="20" spans="1:25" x14ac:dyDescent="0.15">
      <c r="A20" s="34" t="s">
        <v>308</v>
      </c>
      <c r="B20" s="34" t="s">
        <v>271</v>
      </c>
      <c r="C20" s="96" t="s">
        <v>271</v>
      </c>
      <c r="D20" s="96" t="s">
        <v>271</v>
      </c>
      <c r="E20" s="31">
        <v>7.9000000000000001E-2</v>
      </c>
      <c r="F20" s="31">
        <v>6.6000000000000003E-2</v>
      </c>
      <c r="G20" s="31">
        <v>0</v>
      </c>
      <c r="H20" s="31"/>
      <c r="J20" s="32">
        <f>AVERAGE(E20:F20)</f>
        <v>7.2500000000000009E-2</v>
      </c>
      <c r="K20" s="30">
        <f>STDEV(E20:F20)</f>
        <v>9.1923881554251165E-3</v>
      </c>
    </row>
    <row r="21" spans="1:25" x14ac:dyDescent="0.15">
      <c r="A21" s="34" t="s">
        <v>309</v>
      </c>
      <c r="B21" s="96">
        <v>3.2000000000000001E-2</v>
      </c>
      <c r="C21" s="31">
        <v>2.3E-2</v>
      </c>
      <c r="D21" s="31">
        <v>1.2E-2</v>
      </c>
      <c r="E21" s="31">
        <v>5.0000000000000001E-3</v>
      </c>
      <c r="F21" s="31">
        <v>6.0000000000000001E-3</v>
      </c>
      <c r="G21" s="31">
        <v>0</v>
      </c>
      <c r="H21" s="31"/>
      <c r="J21" s="32">
        <f>AVERAGE(B21:F21)</f>
        <v>1.5600000000000003E-2</v>
      </c>
      <c r="K21" s="30">
        <f>STDEV(B21:F21)</f>
        <v>1.1631852818876274E-2</v>
      </c>
    </row>
    <row r="22" spans="1:25" x14ac:dyDescent="0.15">
      <c r="C22" s="31"/>
      <c r="D22" s="31"/>
      <c r="E22" s="31"/>
      <c r="F22" s="31"/>
      <c r="G22" s="31"/>
      <c r="H22" s="31"/>
      <c r="J22" s="31"/>
      <c r="K22" s="13"/>
    </row>
    <row r="23" spans="1:25" x14ac:dyDescent="0.15">
      <c r="A23" s="34" t="s">
        <v>304</v>
      </c>
      <c r="B23" s="96">
        <v>6.2E-2</v>
      </c>
      <c r="C23" s="31">
        <v>6.9000000000000006E-2</v>
      </c>
      <c r="D23" s="31">
        <v>4.4999999999999998E-2</v>
      </c>
      <c r="E23" s="31">
        <v>7.0000000000000001E-3</v>
      </c>
      <c r="F23" s="31">
        <v>5.0000000000000001E-3</v>
      </c>
      <c r="G23" s="31">
        <v>0</v>
      </c>
      <c r="H23" s="31"/>
      <c r="J23" s="32">
        <f>AVERAGE(B23:F23)</f>
        <v>3.7600000000000001E-2</v>
      </c>
      <c r="K23" s="30">
        <f>STDEV(B23:F23)</f>
        <v>3.0146309890266842E-2</v>
      </c>
    </row>
    <row r="28" spans="1:25" x14ac:dyDescent="0.15">
      <c r="A28" s="34" t="s">
        <v>310</v>
      </c>
      <c r="B28" s="34"/>
      <c r="I28" s="31"/>
      <c r="J28" s="37"/>
    </row>
    <row r="29" spans="1:25" ht="14" x14ac:dyDescent="0.15">
      <c r="A29" s="34"/>
      <c r="B29" s="97">
        <v>2020</v>
      </c>
      <c r="C29" s="97">
        <v>2019</v>
      </c>
      <c r="D29" s="97">
        <v>2018</v>
      </c>
      <c r="E29" s="97">
        <v>2017</v>
      </c>
      <c r="F29" s="97">
        <v>2016</v>
      </c>
      <c r="G29" s="97">
        <v>2015</v>
      </c>
      <c r="H29" s="97"/>
      <c r="I29" s="35" t="s">
        <v>312</v>
      </c>
      <c r="J29" s="35" t="s">
        <v>311</v>
      </c>
      <c r="K29" s="99" t="str">
        <f>K3</f>
        <v>σ</v>
      </c>
      <c r="M29" s="97">
        <v>2020</v>
      </c>
      <c r="N29" s="97">
        <v>2019</v>
      </c>
      <c r="O29" s="97">
        <v>2018</v>
      </c>
      <c r="P29" s="97">
        <v>2017</v>
      </c>
      <c r="Q29" s="97">
        <v>2016</v>
      </c>
      <c r="U29" s="34" t="s">
        <v>313</v>
      </c>
    </row>
    <row r="30" spans="1:25" x14ac:dyDescent="0.15">
      <c r="A30" s="34" t="s">
        <v>18</v>
      </c>
      <c r="B30" s="37">
        <f>'Inc Statement'!B16</f>
        <v>3271500</v>
      </c>
      <c r="C30" s="37">
        <f>'Inc Statement'!C16</f>
        <v>3890000</v>
      </c>
      <c r="D30" s="37">
        <f>'Inc Statement'!D16</f>
        <v>3680500</v>
      </c>
      <c r="E30" s="37">
        <f>'Inc Statement'!E16</f>
        <v>4129100</v>
      </c>
      <c r="F30" s="37">
        <f>'Inc Statement'!F16</f>
        <v>3201500</v>
      </c>
      <c r="G30" s="37">
        <f>'Inc Statement'!G16</f>
        <v>2347419</v>
      </c>
      <c r="H30" s="37"/>
      <c r="I30" s="30">
        <f>(GEOMEAN(U30:Y30))-1</f>
        <v>6.8639595763287042E-2</v>
      </c>
      <c r="J30" s="30">
        <f>AVERAGE(M30:Q30)</f>
        <v>8.8571633111833567E-2</v>
      </c>
      <c r="K30" s="30">
        <f>STDEV(M30:Q30)</f>
        <v>0.23314486975018206</v>
      </c>
      <c r="M30" s="31">
        <f>'Inc Statement'!L16</f>
        <v>-0.1589974293059126</v>
      </c>
      <c r="N30" s="31">
        <f>'Inc Statement'!M16</f>
        <v>5.6921613911153378E-2</v>
      </c>
      <c r="O30" s="31">
        <f>'Inc Statement'!N16</f>
        <v>-0.10864353006708484</v>
      </c>
      <c r="P30" s="31">
        <f>'Inc Statement'!O16</f>
        <v>0.28973918475714511</v>
      </c>
      <c r="Q30" s="31">
        <f>'Inc Statement'!P16</f>
        <v>0.36383832626386681</v>
      </c>
      <c r="U30" s="10">
        <f>(1+M30)</f>
        <v>0.84100257069408735</v>
      </c>
      <c r="V30" s="10">
        <f>(1+N30)</f>
        <v>1.0569216139111535</v>
      </c>
      <c r="W30" s="10">
        <f>(1+O30)</f>
        <v>0.89135646993291517</v>
      </c>
      <c r="X30" s="10">
        <f>(1+P30)</f>
        <v>1.2897391847571451</v>
      </c>
      <c r="Y30" s="10">
        <f>(1+Q30)</f>
        <v>1.3638383262638669</v>
      </c>
    </row>
    <row r="31" spans="1:25" x14ac:dyDescent="0.15">
      <c r="A31" s="34"/>
      <c r="B31" s="34"/>
      <c r="C31" s="37"/>
      <c r="D31" s="37"/>
      <c r="E31" s="37"/>
      <c r="F31" s="37"/>
      <c r="G31" s="37"/>
      <c r="H31" s="37"/>
      <c r="K31" s="13"/>
    </row>
    <row r="32" spans="1:25" x14ac:dyDescent="0.15">
      <c r="A32" s="35" t="str">
        <f>A4</f>
        <v>Motion Picture</v>
      </c>
      <c r="B32" s="37">
        <f t="shared" ref="B32:G32" si="2">B30*B4</f>
        <v>1079595</v>
      </c>
      <c r="C32" s="37">
        <f t="shared" si="2"/>
        <v>1672700</v>
      </c>
      <c r="D32" s="37">
        <f t="shared" si="2"/>
        <v>1464839</v>
      </c>
      <c r="E32" s="37">
        <f t="shared" si="2"/>
        <v>1820933.1</v>
      </c>
      <c r="F32" s="37">
        <f t="shared" si="2"/>
        <v>1920900</v>
      </c>
      <c r="G32" s="37">
        <f t="shared" si="2"/>
        <v>1678404.585</v>
      </c>
      <c r="H32" s="37"/>
      <c r="I32" s="30">
        <f t="shared" ref="I32:I37" si="3">(GEOMEAN(U32:Y32))-1</f>
        <v>-8.446944839111481E-2</v>
      </c>
      <c r="J32" s="32">
        <f t="shared" ref="J32:J37" si="4">AVERAGE(M32:Q32)</f>
        <v>-6.3159402027674533E-2</v>
      </c>
      <c r="K32" s="30">
        <f t="shared" ref="K32:K37" si="5">STDEV(M32:Q32)</f>
        <v>0.21664573962965297</v>
      </c>
      <c r="M32" s="13">
        <f t="shared" ref="M32:Q37" si="6">(B32-C32)/C32</f>
        <v>-0.35457942249058411</v>
      </c>
      <c r="N32" s="13">
        <f t="shared" si="6"/>
        <v>0.1419002361351657</v>
      </c>
      <c r="O32" s="13">
        <f t="shared" si="6"/>
        <v>-0.19555583892675688</v>
      </c>
      <c r="P32" s="13">
        <f t="shared" si="6"/>
        <v>-5.2041699203498312E-2</v>
      </c>
      <c r="Q32" s="13">
        <f t="shared" si="6"/>
        <v>0.14447971434730086</v>
      </c>
      <c r="R32" s="13"/>
      <c r="U32" s="10">
        <f>1+(M32)</f>
        <v>0.64542057750941595</v>
      </c>
      <c r="V32" s="10">
        <f>1+(N32)</f>
        <v>1.1419002361351658</v>
      </c>
      <c r="W32" s="10">
        <f>1+(O32)</f>
        <v>0.80444416107324312</v>
      </c>
      <c r="X32" s="10">
        <f>1+(P32)</f>
        <v>0.94795830079650167</v>
      </c>
      <c r="Y32" s="10">
        <f>1+(Q32)</f>
        <v>1.1444797143473009</v>
      </c>
    </row>
    <row r="33" spans="1:25" x14ac:dyDescent="0.15">
      <c r="A33" s="34" t="s">
        <v>298</v>
      </c>
      <c r="B33" s="37">
        <f>$B$32*B5</f>
        <v>11875.545</v>
      </c>
      <c r="C33" s="37">
        <f>$C$32*C5</f>
        <v>356285.1</v>
      </c>
      <c r="D33" s="37">
        <f>$D$32*D5</f>
        <v>215331.33299999998</v>
      </c>
      <c r="E33" s="37">
        <f>$E$32*E5</f>
        <v>280423.6974</v>
      </c>
      <c r="F33" s="37">
        <f>$F$32*F5</f>
        <v>370733.7</v>
      </c>
      <c r="G33" s="37">
        <f>$G$32*G5</f>
        <v>313861.65739499999</v>
      </c>
      <c r="H33" s="37"/>
      <c r="I33" s="30">
        <f t="shared" si="3"/>
        <v>-0.48050298415116588</v>
      </c>
      <c r="J33" s="32">
        <f t="shared" si="4"/>
        <v>-0.12131936331856401</v>
      </c>
      <c r="K33" s="30">
        <f t="shared" si="5"/>
        <v>0.59904055187324523</v>
      </c>
      <c r="M33" s="13">
        <f t="shared" si="6"/>
        <v>-0.96666842087979543</v>
      </c>
      <c r="N33" s="13">
        <f t="shared" si="6"/>
        <v>0.65459013807340338</v>
      </c>
      <c r="O33" s="13">
        <f t="shared" si="6"/>
        <v>-0.23212148261190432</v>
      </c>
      <c r="P33" s="13">
        <f t="shared" si="6"/>
        <v>-0.24359803977895725</v>
      </c>
      <c r="Q33" s="13">
        <f t="shared" si="6"/>
        <v>0.18120098860443357</v>
      </c>
      <c r="U33" s="10">
        <f t="shared" ref="U33:V49" si="7">1+(M33)</f>
        <v>3.3331579120204569E-2</v>
      </c>
      <c r="V33" s="10">
        <f t="shared" si="7"/>
        <v>1.6545901380734034</v>
      </c>
      <c r="W33" s="10">
        <f t="shared" ref="W33:W49" si="8">1+(O33)</f>
        <v>0.76787851738809565</v>
      </c>
      <c r="X33" s="10">
        <f t="shared" ref="X33:X49" si="9">1+(P33)</f>
        <v>0.75640196022104278</v>
      </c>
      <c r="Y33" s="10">
        <f t="shared" ref="Y33:Y43" si="10">1+(Q33)</f>
        <v>1.1812009886044335</v>
      </c>
    </row>
    <row r="34" spans="1:25" x14ac:dyDescent="0.15">
      <c r="A34" s="34" t="s">
        <v>299</v>
      </c>
      <c r="B34" s="37">
        <f>$B$32*B6</f>
        <v>600254.82000000007</v>
      </c>
      <c r="C34" s="37">
        <f>$C$32*C6</f>
        <v>705879.4</v>
      </c>
      <c r="D34" s="37">
        <f>$D$32*D6</f>
        <v>591794.95600000001</v>
      </c>
      <c r="E34" s="37">
        <f>$E$32*E6</f>
        <v>773896.5675</v>
      </c>
      <c r="F34" s="37">
        <f>$F$32*F6</f>
        <v>706891.2</v>
      </c>
      <c r="G34" s="37">
        <f>$G$32*G6</f>
        <v>580727.9864099999</v>
      </c>
      <c r="H34" s="37"/>
      <c r="I34" s="30">
        <f t="shared" si="3"/>
        <v>6.6362831027166891E-3</v>
      </c>
      <c r="J34" s="32">
        <f t="shared" si="4"/>
        <v>2.3975117287573226E-2</v>
      </c>
      <c r="K34" s="30">
        <f t="shared" si="5"/>
        <v>0.20507961392080173</v>
      </c>
      <c r="M34" s="13">
        <f t="shared" si="6"/>
        <v>-0.14963544764162257</v>
      </c>
      <c r="N34" s="13">
        <f t="shared" si="6"/>
        <v>0.19277697932930679</v>
      </c>
      <c r="O34" s="13">
        <f t="shared" si="6"/>
        <v>-0.23530484453272885</v>
      </c>
      <c r="P34" s="13">
        <f t="shared" si="6"/>
        <v>9.4788798474220726E-2</v>
      </c>
      <c r="Q34" s="13">
        <f t="shared" si="6"/>
        <v>0.21725010080869003</v>
      </c>
      <c r="U34" s="10">
        <f t="shared" si="7"/>
        <v>0.85036455235837738</v>
      </c>
      <c r="V34" s="10">
        <f t="shared" si="7"/>
        <v>1.1927769793293068</v>
      </c>
      <c r="W34" s="10">
        <f t="shared" si="8"/>
        <v>0.76469515546727118</v>
      </c>
      <c r="X34" s="10">
        <f t="shared" si="9"/>
        <v>1.0947887984742208</v>
      </c>
      <c r="Y34" s="10">
        <f t="shared" si="10"/>
        <v>1.21725010080869</v>
      </c>
    </row>
    <row r="35" spans="1:25" x14ac:dyDescent="0.15">
      <c r="A35" s="34" t="s">
        <v>300</v>
      </c>
      <c r="B35" s="37">
        <f>$B$32*B7</f>
        <v>229953.73499999999</v>
      </c>
      <c r="C35" s="37">
        <f>$C$32*C7</f>
        <v>247559.59999999998</v>
      </c>
      <c r="D35" s="37">
        <f>$D$32*D7</f>
        <v>273924.89299999998</v>
      </c>
      <c r="E35" s="37">
        <f>$E$32*E7</f>
        <v>278602.76429999998</v>
      </c>
      <c r="F35" s="37">
        <f>$F$32*F7</f>
        <v>278530.5</v>
      </c>
      <c r="G35" s="37">
        <f>$G$32*G7</f>
        <v>204765.35936999999</v>
      </c>
      <c r="H35" s="37"/>
      <c r="I35" s="30">
        <f t="shared" si="3"/>
        <v>2.3473956506263161E-2</v>
      </c>
      <c r="J35" s="32">
        <f t="shared" si="4"/>
        <v>3.5268699842537318E-2</v>
      </c>
      <c r="K35" s="30">
        <f t="shared" si="5"/>
        <v>0.18584865265106199</v>
      </c>
      <c r="M35" s="13">
        <f t="shared" si="6"/>
        <v>-7.111768236820544E-2</v>
      </c>
      <c r="N35" s="13">
        <f t="shared" si="6"/>
        <v>-9.6250080491954437E-2</v>
      </c>
      <c r="O35" s="13">
        <f t="shared" si="6"/>
        <v>-1.6790469799369465E-2</v>
      </c>
      <c r="P35" s="13">
        <f t="shared" si="6"/>
        <v>2.5944842665338527E-4</v>
      </c>
      <c r="Q35" s="13">
        <f t="shared" si="6"/>
        <v>0.36024228344556253</v>
      </c>
      <c r="U35" s="10">
        <f t="shared" si="7"/>
        <v>0.92888231763179452</v>
      </c>
      <c r="V35" s="10">
        <f t="shared" si="7"/>
        <v>0.90374991950804562</v>
      </c>
      <c r="W35" s="10">
        <f t="shared" si="8"/>
        <v>0.98320953020063051</v>
      </c>
      <c r="X35" s="10">
        <f t="shared" si="9"/>
        <v>1.0002594484266534</v>
      </c>
      <c r="Y35" s="10">
        <f t="shared" si="10"/>
        <v>1.3602422834455625</v>
      </c>
    </row>
    <row r="36" spans="1:25" x14ac:dyDescent="0.15">
      <c r="A36" s="34" t="s">
        <v>301</v>
      </c>
      <c r="B36" s="37">
        <f>$B$32*B8</f>
        <v>216998.595</v>
      </c>
      <c r="C36" s="37">
        <f>$C$32*C8</f>
        <v>341230.8</v>
      </c>
      <c r="D36" s="37">
        <f>$D$32*D8</f>
        <v>341307.48700000002</v>
      </c>
      <c r="E36" s="37">
        <f>$E$32*E8</f>
        <v>457054.20810000005</v>
      </c>
      <c r="F36" s="37">
        <f>$F$32*F8</f>
        <v>534010.20000000007</v>
      </c>
      <c r="G36" s="37">
        <f>$G$32*G8</f>
        <v>548838.29929500003</v>
      </c>
      <c r="H36" s="37"/>
      <c r="I36" s="30">
        <f t="shared" si="3"/>
        <v>-0.16937977356880651</v>
      </c>
      <c r="J36" s="32">
        <f t="shared" si="4"/>
        <v>-0.15773349735943917</v>
      </c>
      <c r="K36" s="30">
        <f t="shared" si="5"/>
        <v>0.1531167513324522</v>
      </c>
      <c r="M36" s="13">
        <f t="shared" si="6"/>
        <v>-0.36407090157160488</v>
      </c>
      <c r="N36" s="13">
        <f t="shared" si="6"/>
        <v>-2.2468595891081186E-4</v>
      </c>
      <c r="O36" s="13">
        <f t="shared" si="6"/>
        <v>-0.25324506163320459</v>
      </c>
      <c r="P36" s="13">
        <f t="shared" si="6"/>
        <v>-0.14410959172689963</v>
      </c>
      <c r="Q36" s="13">
        <f t="shared" si="6"/>
        <v>-2.7017245906575983E-2</v>
      </c>
      <c r="U36" s="10">
        <f t="shared" si="7"/>
        <v>0.63592909842839518</v>
      </c>
      <c r="V36" s="10">
        <f t="shared" si="7"/>
        <v>0.99977531404108921</v>
      </c>
      <c r="W36" s="10">
        <f t="shared" si="8"/>
        <v>0.74675493836679541</v>
      </c>
      <c r="X36" s="10">
        <f t="shared" si="9"/>
        <v>0.85589040827310037</v>
      </c>
      <c r="Y36" s="10">
        <f t="shared" si="10"/>
        <v>0.97298275409342405</v>
      </c>
    </row>
    <row r="37" spans="1:25" x14ac:dyDescent="0.15">
      <c r="A37" s="34" t="s">
        <v>303</v>
      </c>
      <c r="B37" s="37">
        <f>$B$32*B9</f>
        <v>20512.305</v>
      </c>
      <c r="C37" s="37">
        <f>$C$32*C9</f>
        <v>21745.1</v>
      </c>
      <c r="D37" s="37">
        <f>$D$32*D9</f>
        <v>41015.491999999998</v>
      </c>
      <c r="E37" s="37">
        <f>$E$32*E9</f>
        <v>30955.862700000005</v>
      </c>
      <c r="F37" s="37">
        <f>$F$32*F9</f>
        <v>28813.5</v>
      </c>
      <c r="G37" s="37">
        <f>$G$32*G9</f>
        <v>30211.282529999997</v>
      </c>
      <c r="H37" s="37"/>
      <c r="I37" s="30">
        <f t="shared" si="3"/>
        <v>-7.4515689591834633E-2</v>
      </c>
      <c r="J37" s="32">
        <f t="shared" si="4"/>
        <v>-3.4694469120012374E-2</v>
      </c>
      <c r="K37" s="30">
        <f t="shared" si="5"/>
        <v>0.28775428643119616</v>
      </c>
      <c r="M37" s="13">
        <f t="shared" si="6"/>
        <v>-5.6693002101622821E-2</v>
      </c>
      <c r="N37" s="13">
        <f t="shared" si="6"/>
        <v>-0.4698320332229588</v>
      </c>
      <c r="O37" s="13">
        <f t="shared" si="6"/>
        <v>0.32496685353240023</v>
      </c>
      <c r="P37" s="13">
        <f t="shared" si="6"/>
        <v>7.4352740902702039E-2</v>
      </c>
      <c r="Q37" s="13">
        <f t="shared" si="6"/>
        <v>-4.6266904710582535E-2</v>
      </c>
      <c r="U37" s="10">
        <f t="shared" si="7"/>
        <v>0.94330699789837713</v>
      </c>
      <c r="V37" s="10">
        <f t="shared" si="7"/>
        <v>0.53016796677704114</v>
      </c>
      <c r="W37" s="10">
        <f t="shared" si="8"/>
        <v>1.3249668535324002</v>
      </c>
      <c r="X37" s="10">
        <f t="shared" si="9"/>
        <v>1.0743527409027021</v>
      </c>
      <c r="Y37" s="10">
        <f t="shared" si="10"/>
        <v>0.95373309528941741</v>
      </c>
    </row>
    <row r="38" spans="1:25" x14ac:dyDescent="0.15">
      <c r="C38" s="37"/>
      <c r="D38" s="37"/>
      <c r="E38" s="37"/>
      <c r="F38" s="37"/>
      <c r="G38" s="37"/>
      <c r="H38" s="37"/>
      <c r="I38" s="13"/>
      <c r="J38" s="31"/>
      <c r="K38" s="13"/>
      <c r="N38" s="13"/>
      <c r="V38" s="10"/>
      <c r="W38" s="10"/>
      <c r="X38" s="10"/>
      <c r="Y38" s="10"/>
    </row>
    <row r="39" spans="1:25" x14ac:dyDescent="0.15">
      <c r="A39" s="35" t="s">
        <v>296</v>
      </c>
      <c r="B39" s="37">
        <f t="shared" ref="B39:G39" si="11">B30*B11</f>
        <v>830961</v>
      </c>
      <c r="C39" s="37">
        <f t="shared" si="11"/>
        <v>999730</v>
      </c>
      <c r="D39" s="37">
        <f t="shared" si="11"/>
        <v>920125</v>
      </c>
      <c r="E39" s="37">
        <f t="shared" si="11"/>
        <v>805174.5</v>
      </c>
      <c r="F39" s="37">
        <f t="shared" si="11"/>
        <v>838793</v>
      </c>
      <c r="G39" s="37">
        <f t="shared" si="11"/>
        <v>669014.41499999992</v>
      </c>
      <c r="H39" s="31"/>
      <c r="I39" s="30">
        <f>(GEOMEAN(U39:Y39))-1</f>
        <v>4.4309029651685261E-2</v>
      </c>
      <c r="J39" s="32">
        <f>AVERAGE(M39:Q39)</f>
        <v>5.4832022088705711E-2</v>
      </c>
      <c r="K39" s="30">
        <f>STDEV(M39:Q39)</f>
        <v>0.16381391742080217</v>
      </c>
      <c r="M39" s="13">
        <f t="shared" ref="M39:Q43" si="12">(B39-C39)/C39</f>
        <v>-0.16881457993658289</v>
      </c>
      <c r="N39" s="13">
        <f t="shared" si="12"/>
        <v>8.6515419100665666E-2</v>
      </c>
      <c r="O39" s="13">
        <f t="shared" si="12"/>
        <v>0.14276470504219893</v>
      </c>
      <c r="P39" s="13">
        <f t="shared" si="12"/>
        <v>-4.0079614398308046E-2</v>
      </c>
      <c r="Q39" s="13">
        <f t="shared" si="12"/>
        <v>0.2537741806355549</v>
      </c>
      <c r="U39" s="10">
        <f t="shared" si="7"/>
        <v>0.83118542006341711</v>
      </c>
      <c r="V39" s="10">
        <f t="shared" si="7"/>
        <v>1.0865154191006656</v>
      </c>
      <c r="W39" s="10">
        <f t="shared" si="8"/>
        <v>1.142764705042199</v>
      </c>
      <c r="X39" s="10">
        <f t="shared" si="9"/>
        <v>0.95992038560169191</v>
      </c>
      <c r="Y39" s="10">
        <f t="shared" si="10"/>
        <v>1.2537741806355549</v>
      </c>
    </row>
    <row r="40" spans="1:25" x14ac:dyDescent="0.15">
      <c r="A40" s="34" t="s">
        <v>300</v>
      </c>
      <c r="B40" s="37">
        <f>$B$39*B12</f>
        <v>473647.76999999996</v>
      </c>
      <c r="C40" s="37">
        <f>$C$39*C12</f>
        <v>714806.95</v>
      </c>
      <c r="D40" s="37">
        <f>$D$39*D12</f>
        <v>655129</v>
      </c>
      <c r="E40" s="37">
        <f>$E$39*E12</f>
        <v>635282.68050000002</v>
      </c>
      <c r="F40" s="37">
        <f>$F$39*F12</f>
        <v>643354.23100000003</v>
      </c>
      <c r="G40" s="37">
        <f>$G$39*G12</f>
        <v>414788.93729999993</v>
      </c>
      <c r="H40" s="37"/>
      <c r="I40" s="30">
        <f>(GEOMEAN(U40:Y40))-1</f>
        <v>2.6894118353398611E-2</v>
      </c>
      <c r="J40" s="32">
        <f>AVERAGE(M40:Q40)</f>
        <v>6.4690173039101448E-2</v>
      </c>
      <c r="K40" s="30">
        <f>STDEV(M40:Q40)</f>
        <v>0.31858097700356486</v>
      </c>
      <c r="M40" s="13">
        <f t="shared" si="12"/>
        <v>-0.33737665813126189</v>
      </c>
      <c r="N40" s="13">
        <f t="shared" si="12"/>
        <v>9.1093433506988633E-2</v>
      </c>
      <c r="O40" s="13">
        <f t="shared" si="12"/>
        <v>3.1240139404367064E-2</v>
      </c>
      <c r="P40" s="13">
        <f t="shared" si="12"/>
        <v>-1.2546044015990954E-2</v>
      </c>
      <c r="Q40" s="13">
        <f t="shared" si="12"/>
        <v>0.55103999443140439</v>
      </c>
      <c r="U40" s="10">
        <f t="shared" si="7"/>
        <v>0.66262334186873817</v>
      </c>
      <c r="V40" s="10">
        <f t="shared" si="7"/>
        <v>1.0910934335069886</v>
      </c>
      <c r="W40" s="10">
        <f t="shared" si="8"/>
        <v>1.0312401394043671</v>
      </c>
      <c r="X40" s="10">
        <f t="shared" si="9"/>
        <v>0.98745395598400909</v>
      </c>
      <c r="Y40" s="10">
        <f t="shared" si="10"/>
        <v>1.5510399944314044</v>
      </c>
    </row>
    <row r="41" spans="1:25" x14ac:dyDescent="0.15">
      <c r="A41" s="34" t="s">
        <v>301</v>
      </c>
      <c r="B41" s="37">
        <f>$B$39*B13</f>
        <v>164530.27800000002</v>
      </c>
      <c r="C41" s="37">
        <f>$C$39*C13</f>
        <v>152958.69</v>
      </c>
      <c r="D41" s="37">
        <f>$D$39*D13</f>
        <v>136178.5</v>
      </c>
      <c r="E41" s="37">
        <f>$E$39*E13</f>
        <v>135269.31600000002</v>
      </c>
      <c r="F41" s="37">
        <f>$F$39*F13</f>
        <v>149305.15399999998</v>
      </c>
      <c r="G41" s="37">
        <f>$G$39*G13</f>
        <v>190000.09385999996</v>
      </c>
      <c r="H41" s="37"/>
      <c r="I41" s="30">
        <f>(GEOMEAN(U41:Y41))-1</f>
        <v>-2.8375620857101325E-2</v>
      </c>
      <c r="J41" s="32">
        <f>AVERAGE(M41:Q41)</f>
        <v>-2.0519297037504759E-2</v>
      </c>
      <c r="K41" s="30">
        <f>STDEV(M41:Q41)</f>
        <v>0.13560878000000751</v>
      </c>
      <c r="M41" s="13">
        <f t="shared" si="12"/>
        <v>7.5651720082069329E-2</v>
      </c>
      <c r="N41" s="13">
        <f t="shared" si="12"/>
        <v>0.1232220210973098</v>
      </c>
      <c r="O41" s="13">
        <f t="shared" si="12"/>
        <v>6.7212877752703291E-3</v>
      </c>
      <c r="P41" s="13">
        <f t="shared" si="12"/>
        <v>-9.4007725948964643E-2</v>
      </c>
      <c r="Q41" s="13">
        <f t="shared" si="12"/>
        <v>-0.2141837881932086</v>
      </c>
      <c r="U41" s="10">
        <f t="shared" si="7"/>
        <v>1.0756517200820692</v>
      </c>
      <c r="V41" s="10">
        <f t="shared" si="7"/>
        <v>1.1232220210973098</v>
      </c>
      <c r="W41" s="10">
        <f t="shared" si="8"/>
        <v>1.0067212877752703</v>
      </c>
      <c r="X41" s="10">
        <f t="shared" si="9"/>
        <v>0.90599227405103533</v>
      </c>
      <c r="Y41" s="10">
        <f t="shared" si="10"/>
        <v>0.7858162118067914</v>
      </c>
    </row>
    <row r="42" spans="1:25" x14ac:dyDescent="0.15">
      <c r="A42" s="34" t="s">
        <v>299</v>
      </c>
      <c r="B42" s="37">
        <f>$B$39*B14</f>
        <v>132953.76</v>
      </c>
      <c r="C42" s="37">
        <f>$C$39*C14</f>
        <v>60983.53</v>
      </c>
      <c r="D42" s="37">
        <f>$D$39*D14</f>
        <v>74530.125</v>
      </c>
      <c r="E42" s="37">
        <f>$E$39*E14</f>
        <v>30596.630999999998</v>
      </c>
      <c r="F42" s="37">
        <f>$F$39*F14</f>
        <v>40262.063999999998</v>
      </c>
      <c r="G42" s="37">
        <f>$G$39*G14</f>
        <v>60211.297349999993</v>
      </c>
      <c r="H42" s="37"/>
      <c r="I42" s="30">
        <f>(GEOMEAN(U42:Y42))-1</f>
        <v>0.17166788925363607</v>
      </c>
      <c r="J42" s="32">
        <f>AVERAGE(M42:Q42)</f>
        <v>0.37258164156716927</v>
      </c>
      <c r="K42" s="30">
        <f>STDEV(M42:Q42)</f>
        <v>0.86036592014417013</v>
      </c>
      <c r="M42" s="13">
        <f t="shared" si="12"/>
        <v>1.1801584788548647</v>
      </c>
      <c r="N42" s="13">
        <f t="shared" si="12"/>
        <v>-0.18175999302295551</v>
      </c>
      <c r="O42" s="13">
        <f t="shared" si="12"/>
        <v>1.4358931870636349</v>
      </c>
      <c r="P42" s="13">
        <f t="shared" si="12"/>
        <v>-0.24006302806532723</v>
      </c>
      <c r="Q42" s="13">
        <f t="shared" si="12"/>
        <v>-0.33132043699437075</v>
      </c>
      <c r="U42" s="10">
        <f t="shared" si="7"/>
        <v>2.1801584788548647</v>
      </c>
      <c r="V42" s="10">
        <f t="shared" si="7"/>
        <v>0.81824000697704447</v>
      </c>
      <c r="W42" s="10">
        <f t="shared" si="8"/>
        <v>2.4358931870636349</v>
      </c>
      <c r="X42" s="10">
        <f t="shared" si="9"/>
        <v>0.7599369719346728</v>
      </c>
      <c r="Y42" s="10">
        <f t="shared" si="10"/>
        <v>0.66867956300562925</v>
      </c>
    </row>
    <row r="43" spans="1:25" x14ac:dyDescent="0.15">
      <c r="A43" s="34" t="s">
        <v>302</v>
      </c>
      <c r="B43" s="37">
        <f>$B$39*B15</f>
        <v>59829.191999999995</v>
      </c>
      <c r="C43" s="37">
        <f>$C$39*C15</f>
        <v>70980.829999999987</v>
      </c>
      <c r="D43" s="37">
        <f>$D$39*D15</f>
        <v>53367.25</v>
      </c>
      <c r="E43" s="37">
        <f>$E$39*E15</f>
        <v>4025.8724999999999</v>
      </c>
      <c r="F43" s="37">
        <f>$F$39*F15</f>
        <v>6710.3440000000001</v>
      </c>
      <c r="G43" s="37">
        <f>$G$39*G15</f>
        <v>4014.0864899999997</v>
      </c>
      <c r="H43" s="37"/>
      <c r="I43" s="30">
        <f>(GEOMEAN(U43:Y43))-1</f>
        <v>0.71658487807131666</v>
      </c>
      <c r="J43" s="32">
        <f>AVERAGE(M43:Q43)</f>
        <v>2.5401313442290623</v>
      </c>
      <c r="K43" s="30">
        <f>STDEV(M43:Q43)</f>
        <v>5.4473562715947441</v>
      </c>
      <c r="M43" s="13">
        <f t="shared" si="12"/>
        <v>-0.15710774303428113</v>
      </c>
      <c r="N43" s="13">
        <f t="shared" si="12"/>
        <v>0.33004473717495258</v>
      </c>
      <c r="O43" s="13">
        <f t="shared" si="12"/>
        <v>12.256070578489508</v>
      </c>
      <c r="P43" s="13">
        <f t="shared" si="12"/>
        <v>-0.40004975899894252</v>
      </c>
      <c r="Q43" s="13">
        <f t="shared" si="12"/>
        <v>0.67169890751407313</v>
      </c>
      <c r="U43" s="10">
        <f t="shared" si="7"/>
        <v>0.8428922569657189</v>
      </c>
      <c r="V43" s="10">
        <f t="shared" si="7"/>
        <v>1.3300447371749526</v>
      </c>
      <c r="W43" s="10">
        <f t="shared" si="8"/>
        <v>13.256070578489508</v>
      </c>
      <c r="X43" s="10">
        <f t="shared" si="9"/>
        <v>0.59995024100105754</v>
      </c>
      <c r="Y43" s="10">
        <f t="shared" si="10"/>
        <v>1.6716989075140731</v>
      </c>
    </row>
    <row r="44" spans="1:25" x14ac:dyDescent="0.15">
      <c r="C44" s="37"/>
      <c r="D44" s="37"/>
      <c r="E44" s="37"/>
      <c r="F44" s="37"/>
      <c r="G44" s="37"/>
      <c r="H44" s="37"/>
      <c r="I44" s="13"/>
      <c r="J44" s="31"/>
      <c r="K44" s="13"/>
      <c r="N44" s="13"/>
      <c r="V44" s="10"/>
      <c r="W44" s="10"/>
      <c r="X44" s="10"/>
      <c r="Y44" s="10"/>
    </row>
    <row r="45" spans="1:25" x14ac:dyDescent="0.15">
      <c r="A45" s="35" t="s">
        <v>297</v>
      </c>
      <c r="B45" s="37">
        <f t="shared" ref="B45:G45" si="13">B30*B17</f>
        <v>1563777</v>
      </c>
      <c r="C45" s="37">
        <f t="shared" si="13"/>
        <v>1485980</v>
      </c>
      <c r="D45" s="37">
        <f t="shared" si="13"/>
        <v>1461158.5</v>
      </c>
      <c r="E45" s="37">
        <f t="shared" si="13"/>
        <v>1531896.1</v>
      </c>
      <c r="F45" s="37">
        <f t="shared" si="13"/>
        <v>457814.49999999994</v>
      </c>
      <c r="G45" s="37">
        <f t="shared" si="13"/>
        <v>0</v>
      </c>
      <c r="H45" s="37"/>
      <c r="I45" s="30">
        <f>(GEOMEAN(U45:X45))-1</f>
        <v>0.35947529376621046</v>
      </c>
      <c r="J45" s="32">
        <f>AVERAGE(M45:P45)</f>
        <v>0.59231790159897879</v>
      </c>
      <c r="K45" s="30">
        <f>STDEV(M45:P45)</f>
        <v>1.1699025279272197</v>
      </c>
      <c r="M45" s="13">
        <f t="shared" ref="M45:P46" si="14">(B45-C45)/C45</f>
        <v>5.2354002072706227E-2</v>
      </c>
      <c r="N45" s="13">
        <f t="shared" si="14"/>
        <v>1.6987547894359169E-2</v>
      </c>
      <c r="O45" s="13">
        <f t="shared" si="14"/>
        <v>-4.6176499829198657E-2</v>
      </c>
      <c r="P45" s="13">
        <f t="shared" si="14"/>
        <v>2.3461065562580483</v>
      </c>
      <c r="Q45" s="13">
        <v>1</v>
      </c>
      <c r="U45" s="10">
        <f t="shared" si="7"/>
        <v>1.0523540020727062</v>
      </c>
      <c r="V45" s="10">
        <f t="shared" si="7"/>
        <v>1.0169875478943591</v>
      </c>
      <c r="W45" s="10">
        <f t="shared" si="8"/>
        <v>0.95382350017080131</v>
      </c>
      <c r="X45" s="10">
        <f t="shared" si="9"/>
        <v>3.3461065562580483</v>
      </c>
      <c r="Y45" s="10"/>
    </row>
    <row r="46" spans="1:25" x14ac:dyDescent="0.15">
      <c r="A46" s="34" t="s">
        <v>306</v>
      </c>
      <c r="B46" s="37">
        <f>$B$45*B18</f>
        <v>1448057.5020000001</v>
      </c>
      <c r="C46" s="37">
        <f>$C$45*C18</f>
        <v>1429512.76</v>
      </c>
      <c r="D46" s="37">
        <f>$D$45*D18</f>
        <v>1440702.281</v>
      </c>
      <c r="E46" s="37">
        <f>$E$45*E18</f>
        <v>1403216.8276000002</v>
      </c>
      <c r="F46" s="37">
        <f>$F$45*F18</f>
        <v>424394.04149999999</v>
      </c>
      <c r="G46" s="37">
        <f>$G$45*G18</f>
        <v>0</v>
      </c>
      <c r="H46" s="37"/>
      <c r="I46" s="30">
        <f>(GEOMEAN(U46:X46))-1</f>
        <v>0.35910851232348073</v>
      </c>
      <c r="J46" s="32">
        <f>AVERAGE(M46:P46)</f>
        <v>0.58458021740253696</v>
      </c>
      <c r="K46" s="30">
        <f>STDEV(M46:P46)</f>
        <v>1.1479679286163409</v>
      </c>
      <c r="M46" s="13">
        <f t="shared" si="14"/>
        <v>1.2972771225910628E-2</v>
      </c>
      <c r="N46" s="13">
        <f t="shared" si="14"/>
        <v>-7.7667129063148542E-3</v>
      </c>
      <c r="O46" s="13">
        <f t="shared" si="14"/>
        <v>2.6713942323591731E-2</v>
      </c>
      <c r="P46" s="13">
        <f t="shared" si="14"/>
        <v>2.3064008689669602</v>
      </c>
      <c r="Q46" s="13">
        <v>1</v>
      </c>
      <c r="U46" s="10">
        <f>1+(M46)</f>
        <v>1.0129727712259107</v>
      </c>
      <c r="V46" s="10">
        <f>1+(N46)</f>
        <v>0.99223328709368519</v>
      </c>
      <c r="W46" s="10">
        <f t="shared" si="8"/>
        <v>1.0267139423235918</v>
      </c>
      <c r="X46" s="10">
        <f t="shared" si="9"/>
        <v>3.3064008689669602</v>
      </c>
      <c r="Y46" s="10"/>
    </row>
    <row r="47" spans="1:25" x14ac:dyDescent="0.15">
      <c r="A47" s="34" t="s">
        <v>307</v>
      </c>
      <c r="B47" s="37">
        <f>$B$45*B19</f>
        <v>65678.634000000005</v>
      </c>
      <c r="C47" s="37">
        <f>$C$45*C19</f>
        <v>22289.7</v>
      </c>
      <c r="D47" s="37">
        <f>$D$45*D19</f>
        <v>1461.1585</v>
      </c>
      <c r="E47" s="37">
        <f>$E$45*E19</f>
        <v>0</v>
      </c>
      <c r="F47" s="37">
        <f>$F$45*F19</f>
        <v>0</v>
      </c>
      <c r="G47" s="37">
        <f>$G$45*G19</f>
        <v>0</v>
      </c>
      <c r="H47" s="37"/>
      <c r="I47" s="30">
        <f>(GEOMEAN(U47:X47))-1</f>
        <v>3.4797343351830072</v>
      </c>
      <c r="J47" s="32">
        <f>AVERAGE(M47:O47)</f>
        <v>5.7338014747396544</v>
      </c>
      <c r="K47" s="30">
        <f>STDEV(M47:O47)</f>
        <v>7.394575010074683</v>
      </c>
      <c r="M47" s="13">
        <f>(B47-C47)/C47</f>
        <v>1.9465912058035777</v>
      </c>
      <c r="N47" s="13">
        <f>(C47-D47)/D47</f>
        <v>14.254813218415388</v>
      </c>
      <c r="O47" s="13">
        <v>1</v>
      </c>
      <c r="P47" s="13">
        <v>0</v>
      </c>
      <c r="Q47" s="13">
        <v>0</v>
      </c>
      <c r="U47" s="10">
        <f t="shared" si="7"/>
        <v>2.9465912058035775</v>
      </c>
      <c r="V47" s="10">
        <f t="shared" si="7"/>
        <v>15.254813218415388</v>
      </c>
      <c r="W47" s="10">
        <f>1+(O47)</f>
        <v>2</v>
      </c>
      <c r="X47" s="10"/>
      <c r="Y47" s="10"/>
    </row>
    <row r="48" spans="1:25" x14ac:dyDescent="0.15">
      <c r="A48" s="34" t="s">
        <v>308</v>
      </c>
      <c r="B48" s="37">
        <v>0</v>
      </c>
      <c r="C48" s="37">
        <v>0</v>
      </c>
      <c r="D48" s="37">
        <v>0</v>
      </c>
      <c r="E48" s="37">
        <f>$E$45*E20</f>
        <v>121019.79190000001</v>
      </c>
      <c r="F48" s="37">
        <f>$F$45*F20</f>
        <v>30215.756999999998</v>
      </c>
      <c r="G48" s="37">
        <f>$G$45*G20</f>
        <v>0</v>
      </c>
      <c r="H48" s="37"/>
      <c r="I48" s="13"/>
      <c r="J48" s="41"/>
      <c r="K48" s="40"/>
      <c r="M48" s="13">
        <v>0</v>
      </c>
      <c r="N48" s="13">
        <v>0</v>
      </c>
      <c r="O48" s="13">
        <f>(D48-E48)/E48</f>
        <v>-1</v>
      </c>
      <c r="P48" s="13">
        <f>(E48-F48)/F48</f>
        <v>3.0051881506725122</v>
      </c>
      <c r="Q48" s="13">
        <v>1</v>
      </c>
      <c r="V48" s="10"/>
      <c r="W48" s="10"/>
      <c r="X48" s="10">
        <f t="shared" si="9"/>
        <v>4.0051881506725122</v>
      </c>
      <c r="Y48" s="10"/>
    </row>
    <row r="49" spans="1:25" x14ac:dyDescent="0.15">
      <c r="A49" s="34" t="s">
        <v>309</v>
      </c>
      <c r="B49" s="37">
        <f>$B$45*B21</f>
        <v>50040.864000000001</v>
      </c>
      <c r="C49" s="37">
        <f>$C$45*C21</f>
        <v>34177.54</v>
      </c>
      <c r="D49" s="37">
        <f>$D$45*D21</f>
        <v>17533.902000000002</v>
      </c>
      <c r="E49" s="37">
        <f>$E$45*E21</f>
        <v>7659.4805000000006</v>
      </c>
      <c r="F49" s="37">
        <f>$F$45*F21</f>
        <v>2746.8869999999997</v>
      </c>
      <c r="G49" s="37">
        <f>$G$45*G21</f>
        <v>0</v>
      </c>
      <c r="H49" s="37"/>
      <c r="I49" s="30">
        <f>(GEOMEAN(U49:X49))-1</f>
        <v>1.0659556839304973</v>
      </c>
      <c r="J49" s="32">
        <f>AVERAGE(M49:P49)</f>
        <v>1.1227423406562727</v>
      </c>
      <c r="K49" s="30">
        <f>STDEV(M49:P49)</f>
        <v>0.55817816953546207</v>
      </c>
      <c r="M49" s="13">
        <f>(B49-C49)/C49</f>
        <v>0.46414469853593909</v>
      </c>
      <c r="N49" s="13">
        <f>(C49-D49)/D49</f>
        <v>0.94922613346418827</v>
      </c>
      <c r="O49" s="13">
        <f>(D49-E49)/E49</f>
        <v>1.2891764004099233</v>
      </c>
      <c r="P49" s="13">
        <f>(E49-F49)/F49</f>
        <v>1.7884221302150403</v>
      </c>
      <c r="Q49" s="13">
        <v>1</v>
      </c>
      <c r="U49" s="10">
        <f t="shared" si="7"/>
        <v>1.464144698535939</v>
      </c>
      <c r="V49" s="10">
        <f t="shared" si="7"/>
        <v>1.9492261334641883</v>
      </c>
      <c r="W49" s="10">
        <f t="shared" si="8"/>
        <v>2.2891764004099233</v>
      </c>
      <c r="X49" s="10">
        <f t="shared" si="9"/>
        <v>2.7884221302150403</v>
      </c>
      <c r="Y49" s="10"/>
    </row>
    <row r="54" spans="1:25" x14ac:dyDescent="0.15">
      <c r="B54" s="35">
        <v>2020</v>
      </c>
      <c r="C54" s="35">
        <v>2019</v>
      </c>
      <c r="D54" s="35">
        <v>2018</v>
      </c>
    </row>
    <row r="55" spans="1:25" x14ac:dyDescent="0.15">
      <c r="A55" s="34" t="s">
        <v>1003</v>
      </c>
      <c r="B55" s="58">
        <f>295.6/1081.1</f>
        <v>0.27342521505873651</v>
      </c>
      <c r="C55" s="13">
        <f>208.7/1670.9</f>
        <v>0.12490274702256268</v>
      </c>
      <c r="D55" s="13">
        <f>128.5/1464.4</f>
        <v>8.7749248839114988E-2</v>
      </c>
    </row>
    <row r="56" spans="1:25" x14ac:dyDescent="0.15">
      <c r="A56" s="34" t="s">
        <v>1004</v>
      </c>
      <c r="B56" s="58">
        <f>83.6/831.8</f>
        <v>0.10050492906948785</v>
      </c>
      <c r="C56" s="13">
        <f>53.4/1001.3</f>
        <v>5.3330670128832518E-2</v>
      </c>
      <c r="D56" s="13">
        <f>66.1/920.9</f>
        <v>7.1777608860896944E-2</v>
      </c>
    </row>
    <row r="57" spans="1:25" x14ac:dyDescent="0.15">
      <c r="A57" s="34" t="s">
        <v>1005</v>
      </c>
      <c r="B57" s="58">
        <f>289.5/1562.7</f>
        <v>0.18525628719523901</v>
      </c>
      <c r="C57" s="13">
        <f>293/1486.8</f>
        <v>0.19706752757600215</v>
      </c>
      <c r="D57" s="13">
        <f>436.3/1461</f>
        <v>0.29863107460643395</v>
      </c>
    </row>
  </sheetData>
  <conditionalFormatting sqref="M32:Q37 M39:Q43 M45:Q49">
    <cfRule type="cellIs" dxfId="2" priority="1" operator="equal">
      <formula>0</formula>
    </cfRule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Charts</vt:lpstr>
      </vt:variant>
      <vt:variant>
        <vt:i4>25</vt:i4>
      </vt:variant>
    </vt:vector>
  </HeadingPairs>
  <TitlesOfParts>
    <vt:vector size="45" baseType="lpstr">
      <vt:lpstr>Ratios</vt:lpstr>
      <vt:lpstr>Inc Statement</vt:lpstr>
      <vt:lpstr>RE statement</vt:lpstr>
      <vt:lpstr>Bal. Sheet</vt:lpstr>
      <vt:lpstr>Cash Flow</vt:lpstr>
      <vt:lpstr>Sources and Uses</vt:lpstr>
      <vt:lpstr>Cash Flow Generation</vt:lpstr>
      <vt:lpstr>Debt Payments (2019)</vt:lpstr>
      <vt:lpstr>Segment Revenues</vt:lpstr>
      <vt:lpstr>Dividend Policy</vt:lpstr>
      <vt:lpstr>AFN</vt:lpstr>
      <vt:lpstr>Sustainable Growth Rate</vt:lpstr>
      <vt:lpstr>Value Line</vt:lpstr>
      <vt:lpstr>Cost of Equity</vt:lpstr>
      <vt:lpstr>WACC</vt:lpstr>
      <vt:lpstr>Industry Ratios</vt:lpstr>
      <vt:lpstr>Competitors</vt:lpstr>
      <vt:lpstr>Industry Data</vt:lpstr>
      <vt:lpstr>LGF.A market price</vt:lpstr>
      <vt:lpstr>COGS</vt:lpstr>
      <vt:lpstr>Cash Flow Generation Graph</vt:lpstr>
      <vt:lpstr>Segment Bar</vt:lpstr>
      <vt:lpstr>Seg. Line</vt:lpstr>
      <vt:lpstr>Dividend Policy Graph</vt:lpstr>
      <vt:lpstr>Current Ratio Graph</vt:lpstr>
      <vt:lpstr>Quick Ratio Graph</vt:lpstr>
      <vt:lpstr>Debt Ratio Graph</vt:lpstr>
      <vt:lpstr>TIE Ratio Graph</vt:lpstr>
      <vt:lpstr>Inventory Turnover Ratio Graph</vt:lpstr>
      <vt:lpstr>Day Sales Outstanding Graph</vt:lpstr>
      <vt:lpstr>Fixed Asset Turnover Ratio</vt:lpstr>
      <vt:lpstr>Total Asset Turnover Ratio</vt:lpstr>
      <vt:lpstr>Profit Margin Ratio</vt:lpstr>
      <vt:lpstr>Gross Margin </vt:lpstr>
      <vt:lpstr>Operating Margin</vt:lpstr>
      <vt:lpstr>EBITDA Margin</vt:lpstr>
      <vt:lpstr>ROA Ratio Graph</vt:lpstr>
      <vt:lpstr>ROE Ratio Graph</vt:lpstr>
      <vt:lpstr>MP Line</vt:lpstr>
      <vt:lpstr>MP Bar</vt:lpstr>
      <vt:lpstr>TV Line</vt:lpstr>
      <vt:lpstr>TV Bar</vt:lpstr>
      <vt:lpstr>MN Bar</vt:lpstr>
      <vt:lpstr>Investment vs. Amortization</vt:lpstr>
      <vt:lpstr>Cash Conversion Cycle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Microsoft Office User</cp:lastModifiedBy>
  <dcterms:created xsi:type="dcterms:W3CDTF">2020-08-07T03:40:36Z</dcterms:created>
  <dcterms:modified xsi:type="dcterms:W3CDTF">2022-05-20T09:09:17Z</dcterms:modified>
  <cp:category/>
</cp:coreProperties>
</file>